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\Desktop\4TO. TRIMESTRE OCTUBRE - DICIEMBRE 2019VRFinal13mar\"/>
    </mc:Choice>
  </mc:AlternateContent>
  <bookViews>
    <workbookView xWindow="0" yWindow="0" windowWidth="15690" windowHeight="3810"/>
  </bookViews>
  <sheets>
    <sheet name="UCEEP-09" sheetId="24" r:id="rId1"/>
    <sheet name="UCEEP-09-01" sheetId="52" r:id="rId2"/>
  </sheets>
  <definedNames>
    <definedName name="_xlnm.Print_Area" localSheetId="0">'UCEEP-09'!$A$1:$AA$49</definedName>
    <definedName name="_xlnm.Print_Area" localSheetId="1">'UCEEP-09-01'!$A$1:$AU$87</definedName>
    <definedName name="_xlnm.Print_Titles" localSheetId="1">'UCEEP-09-01'!$1:$7</definedName>
  </definedNames>
  <calcPr calcId="152511"/>
</workbook>
</file>

<file path=xl/calcChain.xml><?xml version="1.0" encoding="utf-8"?>
<calcChain xmlns="http://schemas.openxmlformats.org/spreadsheetml/2006/main">
  <c r="D80" i="52" l="1"/>
  <c r="E80" i="52"/>
  <c r="F80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S80" i="52"/>
  <c r="T80" i="52"/>
  <c r="U80" i="52"/>
  <c r="V80" i="52"/>
  <c r="W80" i="52"/>
  <c r="X80" i="52"/>
  <c r="Y80" i="52"/>
  <c r="Z80" i="52"/>
  <c r="AA80" i="52"/>
  <c r="AB80" i="52"/>
  <c r="AC80" i="52"/>
  <c r="AD80" i="52"/>
  <c r="AE80" i="52"/>
  <c r="AF80" i="52"/>
  <c r="AG80" i="52"/>
  <c r="AH80" i="52"/>
  <c r="AI80" i="52"/>
  <c r="AJ80" i="52"/>
  <c r="AK80" i="52"/>
  <c r="AL80" i="52"/>
  <c r="AM80" i="52"/>
  <c r="AN80" i="52"/>
  <c r="AO80" i="52"/>
  <c r="AP80" i="52"/>
  <c r="AQ80" i="52"/>
  <c r="AR80" i="52"/>
  <c r="AS80" i="52"/>
  <c r="AT80" i="52"/>
  <c r="C80" i="52"/>
  <c r="D78" i="52"/>
  <c r="E78" i="52"/>
  <c r="F78" i="52"/>
  <c r="G78" i="52"/>
  <c r="H78" i="52"/>
  <c r="I78" i="52"/>
  <c r="K78" i="52"/>
  <c r="L78" i="52"/>
  <c r="M78" i="52"/>
  <c r="N78" i="52"/>
  <c r="O78" i="52"/>
  <c r="P78" i="52"/>
  <c r="Q78" i="52"/>
  <c r="R78" i="52"/>
  <c r="S78" i="52"/>
  <c r="T78" i="52"/>
  <c r="U78" i="52"/>
  <c r="V78" i="52"/>
  <c r="W78" i="52"/>
  <c r="AA78" i="52"/>
  <c r="AB78" i="52"/>
  <c r="AC78" i="52"/>
  <c r="AE78" i="52"/>
  <c r="AF78" i="52"/>
  <c r="AG78" i="52"/>
  <c r="AI78" i="52"/>
  <c r="AJ78" i="52"/>
  <c r="AK78" i="52"/>
  <c r="AM78" i="52"/>
  <c r="AN78" i="52"/>
  <c r="AO78" i="52"/>
  <c r="AQ78" i="52"/>
  <c r="C78" i="52"/>
  <c r="D43" i="52"/>
  <c r="E43" i="52"/>
  <c r="F43" i="52"/>
  <c r="G43" i="52"/>
  <c r="H43" i="52"/>
  <c r="I43" i="52"/>
  <c r="K43" i="52"/>
  <c r="L43" i="52"/>
  <c r="M43" i="52"/>
  <c r="O43" i="52"/>
  <c r="P43" i="52"/>
  <c r="Q43" i="52"/>
  <c r="R43" i="52"/>
  <c r="S43" i="52"/>
  <c r="T43" i="52"/>
  <c r="U43" i="52"/>
  <c r="V43" i="52"/>
  <c r="AA43" i="52"/>
  <c r="AB43" i="52"/>
  <c r="AC43" i="52"/>
  <c r="AE43" i="52"/>
  <c r="AF43" i="52"/>
  <c r="AG43" i="52"/>
  <c r="AI43" i="52"/>
  <c r="AJ43" i="52"/>
  <c r="AK43" i="52"/>
  <c r="AM43" i="52"/>
  <c r="AN43" i="52"/>
  <c r="AO43" i="52"/>
  <c r="C43" i="52"/>
  <c r="AQ77" i="52"/>
  <c r="AP41" i="52"/>
  <c r="AP78" i="52" s="1"/>
  <c r="AL41" i="52"/>
  <c r="AL78" i="52" s="1"/>
  <c r="AH41" i="52"/>
  <c r="AH78" i="52" s="1"/>
  <c r="AD41" i="52"/>
  <c r="AD78" i="52" s="1"/>
  <c r="W41" i="52"/>
  <c r="AQ41" i="52" s="1"/>
  <c r="X41" i="52"/>
  <c r="X78" i="52" s="1"/>
  <c r="Y41" i="52"/>
  <c r="AS41" i="52" s="1"/>
  <c r="AS78" i="52" s="1"/>
  <c r="J41" i="52"/>
  <c r="J78" i="52" s="1"/>
  <c r="Y78" i="52" l="1"/>
  <c r="AR41" i="52"/>
  <c r="AR78" i="52" s="1"/>
  <c r="Z41" i="52"/>
  <c r="Z78" i="52" s="1"/>
  <c r="G55" i="52"/>
  <c r="G52" i="52"/>
  <c r="I15" i="52"/>
  <c r="I52" i="52" s="1"/>
  <c r="I18" i="52"/>
  <c r="AT41" i="52" l="1"/>
  <c r="AT78" i="52" s="1"/>
  <c r="Q51" i="52"/>
  <c r="E18" i="52"/>
  <c r="C52" i="52" l="1"/>
  <c r="C51" i="52" l="1"/>
  <c r="P55" i="52" l="1"/>
  <c r="C19" i="24" l="1"/>
  <c r="K55" i="52" l="1"/>
  <c r="L18" i="52"/>
  <c r="H18" i="52"/>
  <c r="D18" i="52"/>
  <c r="K15" i="52"/>
  <c r="H15" i="52"/>
  <c r="D15" i="52"/>
  <c r="Q52" i="52" l="1"/>
  <c r="L55" i="52" l="1"/>
  <c r="H55" i="52"/>
  <c r="J55" i="52" s="1"/>
  <c r="P52" i="52"/>
  <c r="L51" i="52"/>
  <c r="H51" i="52"/>
  <c r="K51" i="52"/>
  <c r="G51" i="52"/>
  <c r="R15" i="52"/>
  <c r="R18" i="52" l="1"/>
  <c r="C20" i="52"/>
  <c r="K30" i="24" l="1"/>
  <c r="I53" i="52" l="1"/>
  <c r="M53" i="52"/>
  <c r="H54" i="52"/>
  <c r="AO51" i="52" l="1"/>
  <c r="AO52" i="52"/>
  <c r="AO53" i="52"/>
  <c r="AO54" i="52"/>
  <c r="AO55" i="52"/>
  <c r="AN55" i="52"/>
  <c r="AN54" i="52"/>
  <c r="AN53" i="52"/>
  <c r="AN52" i="52"/>
  <c r="AN51" i="52"/>
  <c r="AM51" i="52"/>
  <c r="AM52" i="52"/>
  <c r="AM53" i="52"/>
  <c r="AM54" i="52"/>
  <c r="AM55" i="52"/>
  <c r="AK55" i="52"/>
  <c r="AJ55" i="52"/>
  <c r="AK54" i="52"/>
  <c r="AJ54" i="52"/>
  <c r="AK53" i="52"/>
  <c r="AJ53" i="52"/>
  <c r="AK52" i="52"/>
  <c r="AJ52" i="52"/>
  <c r="AK51" i="52"/>
  <c r="AJ51" i="52"/>
  <c r="AI51" i="52"/>
  <c r="AI52" i="52"/>
  <c r="AI53" i="52"/>
  <c r="AI54" i="52"/>
  <c r="AI55" i="52"/>
  <c r="AF55" i="52"/>
  <c r="AG55" i="52"/>
  <c r="AG54" i="52"/>
  <c r="AG53" i="52"/>
  <c r="AG52" i="52"/>
  <c r="AG51" i="52"/>
  <c r="AF51" i="52"/>
  <c r="AF52" i="52"/>
  <c r="AF53" i="52"/>
  <c r="AF54" i="52"/>
  <c r="AE55" i="52"/>
  <c r="AE54" i="52"/>
  <c r="AE53" i="52"/>
  <c r="AE52" i="52"/>
  <c r="AE51" i="52"/>
  <c r="AC55" i="52"/>
  <c r="AB55" i="52"/>
  <c r="AA55" i="52"/>
  <c r="AC54" i="52"/>
  <c r="AB54" i="52"/>
  <c r="AA54" i="52"/>
  <c r="AA53" i="52"/>
  <c r="AB53" i="52"/>
  <c r="AC53" i="52"/>
  <c r="AC52" i="52"/>
  <c r="AB52" i="52"/>
  <c r="AA52" i="52"/>
  <c r="AC51" i="52"/>
  <c r="AB51" i="52"/>
  <c r="AA51" i="52"/>
  <c r="Q53" i="52"/>
  <c r="P53" i="52"/>
  <c r="O54" i="52"/>
  <c r="O53" i="52"/>
  <c r="O52" i="52"/>
  <c r="R52" i="52" s="1"/>
  <c r="K54" i="52"/>
  <c r="K53" i="52"/>
  <c r="K52" i="52"/>
  <c r="H53" i="52"/>
  <c r="G54" i="52"/>
  <c r="G53" i="52"/>
  <c r="E55" i="52"/>
  <c r="E54" i="52"/>
  <c r="E53" i="52"/>
  <c r="E52" i="52"/>
  <c r="E51" i="52"/>
  <c r="D55" i="52"/>
  <c r="D54" i="52"/>
  <c r="D53" i="52"/>
  <c r="D52" i="52"/>
  <c r="D51" i="52"/>
  <c r="C55" i="52"/>
  <c r="C54" i="52"/>
  <c r="C53" i="52"/>
  <c r="AP77" i="52"/>
  <c r="AL77" i="52"/>
  <c r="AH77" i="52"/>
  <c r="AD77" i="52"/>
  <c r="Y77" i="52"/>
  <c r="X77" i="52"/>
  <c r="AR77" i="52" s="1"/>
  <c r="J77" i="52"/>
  <c r="AQ76" i="52"/>
  <c r="AP76" i="52"/>
  <c r="AL76" i="52"/>
  <c r="AH76" i="52"/>
  <c r="AD76" i="52"/>
  <c r="Y76" i="52"/>
  <c r="AS76" i="52" s="1"/>
  <c r="X76" i="52"/>
  <c r="N76" i="52"/>
  <c r="J76" i="52"/>
  <c r="AQ75" i="52"/>
  <c r="AP75" i="52"/>
  <c r="AL75" i="52"/>
  <c r="AH75" i="52"/>
  <c r="AD75" i="52"/>
  <c r="Y75" i="52"/>
  <c r="AS75" i="52" s="1"/>
  <c r="X75" i="52"/>
  <c r="AR75" i="52" s="1"/>
  <c r="N75" i="52"/>
  <c r="J75" i="52"/>
  <c r="AQ74" i="52"/>
  <c r="AP74" i="52"/>
  <c r="AL74" i="52"/>
  <c r="AH74" i="52"/>
  <c r="AD74" i="52"/>
  <c r="Y74" i="52"/>
  <c r="AS74" i="52" s="1"/>
  <c r="X74" i="52"/>
  <c r="AR74" i="52" s="1"/>
  <c r="N74" i="52"/>
  <c r="J74" i="52"/>
  <c r="I73" i="52"/>
  <c r="AO70" i="52"/>
  <c r="AK70" i="52"/>
  <c r="AG70" i="52"/>
  <c r="AC70" i="52"/>
  <c r="AO67" i="52"/>
  <c r="AK67" i="52"/>
  <c r="AG67" i="52"/>
  <c r="AC67" i="52"/>
  <c r="I67" i="52"/>
  <c r="AQ40" i="52"/>
  <c r="AP40" i="52"/>
  <c r="AL40" i="52"/>
  <c r="AH40" i="52"/>
  <c r="AD40" i="52"/>
  <c r="Y40" i="52"/>
  <c r="AS40" i="52" s="1"/>
  <c r="X40" i="52"/>
  <c r="J40" i="52"/>
  <c r="AQ39" i="52"/>
  <c r="AP39" i="52"/>
  <c r="AL39" i="52"/>
  <c r="AH39" i="52"/>
  <c r="AD39" i="52"/>
  <c r="Y39" i="52"/>
  <c r="AS39" i="52" s="1"/>
  <c r="X39" i="52"/>
  <c r="N39" i="52"/>
  <c r="J39" i="52"/>
  <c r="AQ36" i="52"/>
  <c r="N34" i="52"/>
  <c r="N35" i="52"/>
  <c r="N36" i="52"/>
  <c r="N37" i="52"/>
  <c r="N38" i="52"/>
  <c r="J33" i="52"/>
  <c r="J34" i="52"/>
  <c r="J35" i="52"/>
  <c r="J36" i="52"/>
  <c r="J37" i="52"/>
  <c r="J38" i="52"/>
  <c r="AP38" i="52"/>
  <c r="AL38" i="52"/>
  <c r="AH38" i="52"/>
  <c r="AD38" i="52"/>
  <c r="Y38" i="52"/>
  <c r="AS38" i="52" s="1"/>
  <c r="X38" i="52"/>
  <c r="AR38" i="52" s="1"/>
  <c r="AP37" i="52"/>
  <c r="AL37" i="52"/>
  <c r="AH37" i="52"/>
  <c r="AD37" i="52"/>
  <c r="Y37" i="52"/>
  <c r="AS37" i="52" s="1"/>
  <c r="X37" i="52"/>
  <c r="AR37" i="52" s="1"/>
  <c r="AP36" i="52"/>
  <c r="AL36" i="52"/>
  <c r="AH36" i="52"/>
  <c r="AD36" i="52"/>
  <c r="Y36" i="52"/>
  <c r="AS36" i="52" s="1"/>
  <c r="X36" i="52"/>
  <c r="AR36" i="52" s="1"/>
  <c r="AQ33" i="52"/>
  <c r="AP33" i="52"/>
  <c r="AL33" i="52"/>
  <c r="AH33" i="52"/>
  <c r="AD33" i="52"/>
  <c r="Y33" i="52"/>
  <c r="AS33" i="52" s="1"/>
  <c r="X33" i="52"/>
  <c r="J30" i="52"/>
  <c r="AL30" i="52"/>
  <c r="AH30" i="52"/>
  <c r="AD30" i="52"/>
  <c r="Y30" i="52"/>
  <c r="X30" i="52"/>
  <c r="Z77" i="52" l="1"/>
  <c r="F51" i="52"/>
  <c r="Z76" i="52"/>
  <c r="C57" i="52"/>
  <c r="Z75" i="52"/>
  <c r="AT74" i="52"/>
  <c r="AT75" i="52"/>
  <c r="Z74" i="52"/>
  <c r="AS77" i="52"/>
  <c r="AT77" i="52" s="1"/>
  <c r="AR76" i="52"/>
  <c r="AT76" i="52" s="1"/>
  <c r="Z33" i="52"/>
  <c r="Z39" i="52"/>
  <c r="Z40" i="52"/>
  <c r="Z30" i="52"/>
  <c r="Z36" i="52"/>
  <c r="Z38" i="52"/>
  <c r="Z37" i="52"/>
  <c r="AR40" i="52"/>
  <c r="AT40" i="52" s="1"/>
  <c r="AR39" i="52"/>
  <c r="AT39" i="52" s="1"/>
  <c r="AQ37" i="52"/>
  <c r="AT37" i="52" s="1"/>
  <c r="AT36" i="52"/>
  <c r="AQ38" i="52"/>
  <c r="AT38" i="52" s="1"/>
  <c r="AR33" i="52"/>
  <c r="AT33" i="52" s="1"/>
  <c r="Y66" i="52"/>
  <c r="Y67" i="52"/>
  <c r="AS67" i="52" s="1"/>
  <c r="Y68" i="52"/>
  <c r="Y69" i="52"/>
  <c r="Y71" i="52"/>
  <c r="Y72" i="52"/>
  <c r="AS72" i="52" s="1"/>
  <c r="Y73" i="52"/>
  <c r="AS73" i="52" s="1"/>
  <c r="X66" i="52"/>
  <c r="X67" i="52"/>
  <c r="X68" i="52"/>
  <c r="X69" i="52"/>
  <c r="X70" i="52"/>
  <c r="X71" i="52"/>
  <c r="X72" i="52"/>
  <c r="AR72" i="52" s="1"/>
  <c r="X73" i="52"/>
  <c r="Y65" i="52"/>
  <c r="X65" i="52"/>
  <c r="W66" i="52"/>
  <c r="W67" i="52"/>
  <c r="W68" i="52"/>
  <c r="W69" i="52"/>
  <c r="W70" i="52"/>
  <c r="W71" i="52"/>
  <c r="W72" i="52"/>
  <c r="W73" i="52"/>
  <c r="AQ73" i="52" s="1"/>
  <c r="W65" i="52"/>
  <c r="I70" i="52"/>
  <c r="Y70" i="52" s="1"/>
  <c r="AP73" i="52"/>
  <c r="AL73" i="52"/>
  <c r="AH73" i="52"/>
  <c r="AD73" i="52"/>
  <c r="J73" i="52"/>
  <c r="AP72" i="52"/>
  <c r="AL72" i="52"/>
  <c r="AH72" i="52"/>
  <c r="AD72" i="52"/>
  <c r="J72" i="52"/>
  <c r="Q54" i="52"/>
  <c r="AP35" i="52"/>
  <c r="AL35" i="52"/>
  <c r="AH35" i="52"/>
  <c r="AD35" i="52"/>
  <c r="W35" i="52"/>
  <c r="W43" i="52" s="1"/>
  <c r="Y35" i="52"/>
  <c r="AS35" i="52" s="1"/>
  <c r="X35" i="52"/>
  <c r="AR35" i="52" s="1"/>
  <c r="N33" i="52"/>
  <c r="N43" i="52" s="1"/>
  <c r="Z72" i="52" l="1"/>
  <c r="Z65" i="52"/>
  <c r="AQ35" i="52"/>
  <c r="AT35" i="52" s="1"/>
  <c r="Z35" i="52"/>
  <c r="Z73" i="52"/>
  <c r="AR73" i="52"/>
  <c r="AT73" i="52" s="1"/>
  <c r="AQ72" i="52"/>
  <c r="AT72" i="52" s="1"/>
  <c r="O55" i="52" l="1"/>
  <c r="S17" i="52" l="1"/>
  <c r="S54" i="52" s="1"/>
  <c r="U17" i="52"/>
  <c r="U54" i="52" s="1"/>
  <c r="P54" i="52"/>
  <c r="P51" i="52"/>
  <c r="O51" i="52"/>
  <c r="L53" i="52"/>
  <c r="T17" i="52" l="1"/>
  <c r="T54" i="52" s="1"/>
  <c r="W17" i="52"/>
  <c r="W54" i="52" s="1"/>
  <c r="I54" i="52"/>
  <c r="M54" i="52"/>
  <c r="M52" i="52"/>
  <c r="M51" i="52"/>
  <c r="I51" i="52"/>
  <c r="L54" i="52"/>
  <c r="H52" i="52"/>
  <c r="J52" i="52" s="1"/>
  <c r="L52" i="52"/>
  <c r="Y17" i="52" l="1"/>
  <c r="Y54" i="52" s="1"/>
  <c r="X17" i="52"/>
  <c r="X54" i="52" s="1"/>
  <c r="J15" i="52"/>
  <c r="N52" i="52"/>
  <c r="R14" i="24" s="1"/>
  <c r="F53" i="52"/>
  <c r="P15" i="24" s="1"/>
  <c r="F52" i="52"/>
  <c r="P14" i="24" s="1"/>
  <c r="AP55" i="52"/>
  <c r="Y17" i="24" s="1"/>
  <c r="AL55" i="52"/>
  <c r="X17" i="24" s="1"/>
  <c r="AH55" i="52"/>
  <c r="W17" i="24" s="1"/>
  <c r="AD55" i="52"/>
  <c r="V17" i="24" s="1"/>
  <c r="R55" i="52"/>
  <c r="N55" i="52"/>
  <c r="R17" i="24" s="1"/>
  <c r="Q17" i="24"/>
  <c r="F55" i="52"/>
  <c r="P17" i="24" s="1"/>
  <c r="AP54" i="52"/>
  <c r="Y16" i="24" s="1"/>
  <c r="AL54" i="52"/>
  <c r="X16" i="24" s="1"/>
  <c r="AH54" i="52"/>
  <c r="W16" i="24" s="1"/>
  <c r="AD54" i="52"/>
  <c r="V16" i="24" s="1"/>
  <c r="V54" i="52"/>
  <c r="T16" i="24" s="1"/>
  <c r="R54" i="52"/>
  <c r="S16" i="24" s="1"/>
  <c r="N54" i="52"/>
  <c r="R16" i="24" s="1"/>
  <c r="J54" i="52"/>
  <c r="Q16" i="24" s="1"/>
  <c r="F54" i="52"/>
  <c r="P16" i="24" s="1"/>
  <c r="AP53" i="52"/>
  <c r="Y15" i="24" s="1"/>
  <c r="AL53" i="52"/>
  <c r="X15" i="24" s="1"/>
  <c r="AH53" i="52"/>
  <c r="W15" i="24" s="1"/>
  <c r="AD53" i="52"/>
  <c r="V15" i="24" s="1"/>
  <c r="R53" i="52"/>
  <c r="S15" i="24" s="1"/>
  <c r="N53" i="52"/>
  <c r="R15" i="24" s="1"/>
  <c r="J53" i="52"/>
  <c r="Q15" i="24" s="1"/>
  <c r="AP52" i="52"/>
  <c r="Y14" i="24" s="1"/>
  <c r="AL52" i="52"/>
  <c r="X14" i="24" s="1"/>
  <c r="AH52" i="52"/>
  <c r="W14" i="24" s="1"/>
  <c r="AD52" i="52"/>
  <c r="V14" i="24" s="1"/>
  <c r="S14" i="24"/>
  <c r="Q14" i="24"/>
  <c r="AP51" i="52"/>
  <c r="Y13" i="24" s="1"/>
  <c r="AL51" i="52"/>
  <c r="X13" i="24" s="1"/>
  <c r="AH51" i="52"/>
  <c r="W13" i="24" s="1"/>
  <c r="AD51" i="52"/>
  <c r="V13" i="24" s="1"/>
  <c r="R51" i="52"/>
  <c r="S13" i="24" s="1"/>
  <c r="N51" i="52"/>
  <c r="R13" i="24" s="1"/>
  <c r="J51" i="52"/>
  <c r="Q13" i="24" s="1"/>
  <c r="R19" i="24" l="1"/>
  <c r="S17" i="24"/>
  <c r="S19" i="24" s="1"/>
  <c r="R57" i="52"/>
  <c r="AA17" i="24"/>
  <c r="AA15" i="24"/>
  <c r="AA14" i="24"/>
  <c r="AA16" i="24"/>
  <c r="P13" i="24"/>
  <c r="AA13" i="24" s="1"/>
  <c r="Z54" i="52" l="1"/>
  <c r="U16" i="24" s="1"/>
  <c r="AP71" i="52" l="1"/>
  <c r="AP70" i="52"/>
  <c r="AP65" i="52"/>
  <c r="AL71" i="52"/>
  <c r="AL70" i="52"/>
  <c r="AL65" i="52"/>
  <c r="AH71" i="52"/>
  <c r="AH70" i="52"/>
  <c r="AH67" i="52"/>
  <c r="AH65" i="52"/>
  <c r="AD71" i="52"/>
  <c r="AD70" i="52"/>
  <c r="AD67" i="52"/>
  <c r="AD65" i="52"/>
  <c r="AR71" i="52"/>
  <c r="AQ71" i="52"/>
  <c r="Z71" i="52"/>
  <c r="J71" i="52"/>
  <c r="AR70" i="52"/>
  <c r="AQ70" i="52"/>
  <c r="Z70" i="52"/>
  <c r="J70" i="52"/>
  <c r="AR69" i="52"/>
  <c r="AQ69" i="52"/>
  <c r="AP69" i="52"/>
  <c r="AL69" i="52"/>
  <c r="AH69" i="52"/>
  <c r="AD69" i="52"/>
  <c r="Z69" i="52"/>
  <c r="J69" i="52"/>
  <c r="AR68" i="52"/>
  <c r="AQ68" i="52"/>
  <c r="AP68" i="52"/>
  <c r="AL68" i="52"/>
  <c r="AH68" i="52"/>
  <c r="AD68" i="52"/>
  <c r="Z68" i="52"/>
  <c r="J68" i="52"/>
  <c r="AR67" i="52"/>
  <c r="AQ67" i="52"/>
  <c r="AP67" i="52"/>
  <c r="AL67" i="52"/>
  <c r="Z67" i="52"/>
  <c r="J67" i="52"/>
  <c r="AR66" i="52"/>
  <c r="AQ66" i="52"/>
  <c r="AP66" i="52"/>
  <c r="AL66" i="52"/>
  <c r="AH66" i="52"/>
  <c r="AD66" i="52"/>
  <c r="AS66" i="52"/>
  <c r="J66" i="52"/>
  <c r="AR65" i="52"/>
  <c r="AQ65" i="52"/>
  <c r="J65" i="52"/>
  <c r="AT66" i="52" l="1"/>
  <c r="Z66" i="52"/>
  <c r="AS70" i="52"/>
  <c r="AS65" i="52"/>
  <c r="AT65" i="52" s="1"/>
  <c r="AS69" i="52"/>
  <c r="AT69" i="52" s="1"/>
  <c r="AS68" i="52"/>
  <c r="AT68" i="52" s="1"/>
  <c r="AT67" i="52"/>
  <c r="AS71" i="52"/>
  <c r="AT71" i="52" s="1"/>
  <c r="AT70" i="52" l="1"/>
  <c r="AN57" i="52" l="1"/>
  <c r="AJ57" i="52"/>
  <c r="AF57" i="52"/>
  <c r="AB57" i="52"/>
  <c r="D57" i="52"/>
  <c r="AM57" i="52"/>
  <c r="AI57" i="52"/>
  <c r="AE57" i="52"/>
  <c r="AA57" i="52"/>
  <c r="AO57" i="52"/>
  <c r="AK57" i="52"/>
  <c r="AG57" i="52"/>
  <c r="AC57" i="52"/>
  <c r="E57" i="52"/>
  <c r="X34" i="52"/>
  <c r="X32" i="52"/>
  <c r="X31" i="52"/>
  <c r="X29" i="52"/>
  <c r="X28" i="52"/>
  <c r="AP34" i="52"/>
  <c r="AP32" i="52"/>
  <c r="AP31" i="52"/>
  <c r="AP30" i="52"/>
  <c r="AP29" i="52"/>
  <c r="AP28" i="52"/>
  <c r="AL34" i="52"/>
  <c r="AL32" i="52"/>
  <c r="AL31" i="52"/>
  <c r="AL29" i="52"/>
  <c r="AL28" i="52"/>
  <c r="AH34" i="52"/>
  <c r="AH32" i="52"/>
  <c r="AH31" i="52"/>
  <c r="AH29" i="52"/>
  <c r="AH28" i="52"/>
  <c r="AH43" i="52" l="1"/>
  <c r="X43" i="52"/>
  <c r="AL43" i="52"/>
  <c r="AP43" i="52"/>
  <c r="T18" i="52" l="1"/>
  <c r="T55" i="52" s="1"/>
  <c r="U18" i="52"/>
  <c r="S18" i="52"/>
  <c r="S55" i="52" s="1"/>
  <c r="W18" i="52" l="1"/>
  <c r="Y18" i="52"/>
  <c r="Y55" i="52" s="1"/>
  <c r="X18" i="52"/>
  <c r="X55" i="52" s="1"/>
  <c r="V17" i="52"/>
  <c r="V18" i="52"/>
  <c r="R16" i="52"/>
  <c r="R17" i="52"/>
  <c r="J16" i="52"/>
  <c r="J17" i="52"/>
  <c r="J18" i="52"/>
  <c r="N16" i="52"/>
  <c r="N18" i="52"/>
  <c r="U16" i="52"/>
  <c r="U53" i="52" s="1"/>
  <c r="T16" i="52"/>
  <c r="T53" i="52" s="1"/>
  <c r="S16" i="52"/>
  <c r="N15" i="52"/>
  <c r="O57" i="52"/>
  <c r="W55" i="52" l="1"/>
  <c r="AQ18" i="52"/>
  <c r="W16" i="52"/>
  <c r="W53" i="52" s="1"/>
  <c r="S53" i="52"/>
  <c r="V55" i="52"/>
  <c r="T17" i="24" s="1"/>
  <c r="Z55" i="52"/>
  <c r="U17" i="24" s="1"/>
  <c r="X16" i="52"/>
  <c r="X53" i="52" s="1"/>
  <c r="Y16" i="52"/>
  <c r="Y53" i="52" s="1"/>
  <c r="N17" i="52"/>
  <c r="V16" i="52"/>
  <c r="U15" i="52"/>
  <c r="U52" i="52" s="1"/>
  <c r="T15" i="52"/>
  <c r="T52" i="52" s="1"/>
  <c r="S15" i="52"/>
  <c r="S52" i="52" l="1"/>
  <c r="W15" i="52"/>
  <c r="W52" i="52" s="1"/>
  <c r="Z53" i="52"/>
  <c r="U15" i="24" s="1"/>
  <c r="V53" i="52"/>
  <c r="T15" i="24" s="1"/>
  <c r="Y15" i="52"/>
  <c r="Y52" i="52" s="1"/>
  <c r="X15" i="52"/>
  <c r="X52" i="52" s="1"/>
  <c r="V15" i="52"/>
  <c r="R14" i="52"/>
  <c r="I57" i="52"/>
  <c r="H57" i="52"/>
  <c r="M57" i="52"/>
  <c r="L57" i="52"/>
  <c r="K57" i="52"/>
  <c r="G57" i="52"/>
  <c r="Q57" i="52"/>
  <c r="P57" i="52"/>
  <c r="U14" i="52"/>
  <c r="U51" i="52" s="1"/>
  <c r="T14" i="52"/>
  <c r="T51" i="52" s="1"/>
  <c r="S14" i="52"/>
  <c r="S51" i="52" s="1"/>
  <c r="Z52" i="52" l="1"/>
  <c r="K59" i="52"/>
  <c r="R20" i="52"/>
  <c r="X14" i="52"/>
  <c r="X51" i="52" s="1"/>
  <c r="T57" i="52"/>
  <c r="U14" i="24"/>
  <c r="W14" i="52"/>
  <c r="W51" i="52" s="1"/>
  <c r="S57" i="52"/>
  <c r="V52" i="52"/>
  <c r="T14" i="24" s="1"/>
  <c r="U57" i="52"/>
  <c r="Y14" i="52"/>
  <c r="Y51" i="52" s="1"/>
  <c r="J14" i="52"/>
  <c r="E13" i="24" s="1"/>
  <c r="N14" i="52"/>
  <c r="N57" i="52" s="1"/>
  <c r="AQ15" i="52"/>
  <c r="AQ52" i="52" s="1"/>
  <c r="V14" i="52"/>
  <c r="J57" i="52" l="1"/>
  <c r="V51" i="52"/>
  <c r="T13" i="24" s="1"/>
  <c r="T19" i="24" s="1"/>
  <c r="AQ14" i="52"/>
  <c r="AQ51" i="52" s="1"/>
  <c r="AR14" i="52"/>
  <c r="AR51" i="52" s="1"/>
  <c r="V57" i="52" l="1"/>
  <c r="Z51" i="52"/>
  <c r="U13" i="24" s="1"/>
  <c r="AS14" i="52"/>
  <c r="AS51" i="52" s="1"/>
  <c r="AT51" i="52" s="1"/>
  <c r="Z13" i="24" s="1"/>
  <c r="AR18" i="52"/>
  <c r="AR55" i="52" s="1"/>
  <c r="AS18" i="52"/>
  <c r="AS55" i="52" s="1"/>
  <c r="AQ55" i="52"/>
  <c r="AR17" i="52"/>
  <c r="AR54" i="52" s="1"/>
  <c r="AS17" i="52"/>
  <c r="AS54" i="52" s="1"/>
  <c r="AQ17" i="52"/>
  <c r="AQ54" i="52" s="1"/>
  <c r="AR16" i="52"/>
  <c r="AR53" i="52" s="1"/>
  <c r="AS16" i="52"/>
  <c r="AS53" i="52" s="1"/>
  <c r="AQ16" i="52"/>
  <c r="AQ53" i="52" s="1"/>
  <c r="AR15" i="52"/>
  <c r="AS15" i="52"/>
  <c r="AS52" i="52" s="1"/>
  <c r="Z14" i="52"/>
  <c r="Z18" i="52"/>
  <c r="Z17" i="52"/>
  <c r="Z16" i="52"/>
  <c r="Y20" i="52"/>
  <c r="Z15" i="52"/>
  <c r="X20" i="52"/>
  <c r="W20" i="52"/>
  <c r="H15" i="24"/>
  <c r="U20" i="52"/>
  <c r="M20" i="52"/>
  <c r="E16" i="24"/>
  <c r="I20" i="52"/>
  <c r="H14" i="24"/>
  <c r="S20" i="52"/>
  <c r="Q20" i="52"/>
  <c r="P20" i="52"/>
  <c r="O20" i="52"/>
  <c r="L20" i="52"/>
  <c r="K20" i="52"/>
  <c r="G20" i="52"/>
  <c r="E14" i="24"/>
  <c r="F17" i="24"/>
  <c r="F16" i="24"/>
  <c r="F14" i="24"/>
  <c r="H13" i="24"/>
  <c r="F13" i="24"/>
  <c r="AT55" i="52" l="1"/>
  <c r="Z17" i="24" s="1"/>
  <c r="AT53" i="52"/>
  <c r="Z15" i="24" s="1"/>
  <c r="AR52" i="52"/>
  <c r="AT52" i="52" s="1"/>
  <c r="Z14" i="24" s="1"/>
  <c r="AT54" i="52"/>
  <c r="Z16" i="24" s="1"/>
  <c r="AQ57" i="52"/>
  <c r="Z57" i="52"/>
  <c r="X57" i="52"/>
  <c r="W57" i="52"/>
  <c r="Y57" i="52"/>
  <c r="AS57" i="52"/>
  <c r="G13" i="24"/>
  <c r="E15" i="24"/>
  <c r="F15" i="24"/>
  <c r="G16" i="24"/>
  <c r="H16" i="24"/>
  <c r="G17" i="24"/>
  <c r="G15" i="24"/>
  <c r="G14" i="24"/>
  <c r="E17" i="24"/>
  <c r="H20" i="52"/>
  <c r="N20" i="52"/>
  <c r="J20" i="52"/>
  <c r="T20" i="52"/>
  <c r="AR57" i="52" l="1"/>
  <c r="H17" i="24"/>
  <c r="V20" i="52"/>
  <c r="AQ34" i="52"/>
  <c r="AQ32" i="52"/>
  <c r="AQ31" i="52"/>
  <c r="AQ30" i="52"/>
  <c r="AQ29" i="52"/>
  <c r="AR34" i="52"/>
  <c r="AR32" i="52"/>
  <c r="AR31" i="52"/>
  <c r="AR30" i="52"/>
  <c r="AR29" i="52"/>
  <c r="AR28" i="52"/>
  <c r="AQ28" i="52"/>
  <c r="AQ43" i="52" l="1"/>
  <c r="AR43" i="52"/>
  <c r="AD34" i="52"/>
  <c r="AD32" i="52"/>
  <c r="AD31" i="52"/>
  <c r="Y34" i="52"/>
  <c r="AS34" i="52" s="1"/>
  <c r="J32" i="52"/>
  <c r="Y32" i="52"/>
  <c r="AS32" i="52" s="1"/>
  <c r="AD29" i="52"/>
  <c r="Y29" i="52"/>
  <c r="Y31" i="52"/>
  <c r="AS31" i="52" s="1"/>
  <c r="J29" i="52"/>
  <c r="J31" i="52"/>
  <c r="AD28" i="52"/>
  <c r="J28" i="52"/>
  <c r="J43" i="52" l="1"/>
  <c r="AD43" i="52"/>
  <c r="Y43" i="52"/>
  <c r="Z29" i="52"/>
  <c r="AS29" i="52"/>
  <c r="Z32" i="52"/>
  <c r="Z31" i="52"/>
  <c r="Z34" i="52"/>
  <c r="Z28" i="52"/>
  <c r="AS28" i="52"/>
  <c r="AS30" i="52"/>
  <c r="AS43" i="52" l="1"/>
  <c r="Z43" i="52"/>
  <c r="AT32" i="52"/>
  <c r="AT30" i="52"/>
  <c r="AT34" i="52"/>
  <c r="AT28" i="52"/>
  <c r="AT31" i="52"/>
  <c r="AT29" i="52"/>
  <c r="AT43" i="52" l="1"/>
  <c r="AD18" i="52"/>
  <c r="AP15" i="52"/>
  <c r="AP16" i="52"/>
  <c r="AP17" i="52"/>
  <c r="AP18" i="52"/>
  <c r="AP14" i="52"/>
  <c r="AL15" i="52"/>
  <c r="AL16" i="52"/>
  <c r="AL17" i="52"/>
  <c r="AL18" i="52"/>
  <c r="AL14" i="52"/>
  <c r="AH15" i="52"/>
  <c r="AH16" i="52"/>
  <c r="AH17" i="52"/>
  <c r="AH18" i="52"/>
  <c r="AH14" i="52"/>
  <c r="AD15" i="52"/>
  <c r="AD16" i="52"/>
  <c r="AD17" i="52"/>
  <c r="AD14" i="52"/>
  <c r="F15" i="52"/>
  <c r="D14" i="24" s="1"/>
  <c r="F16" i="52"/>
  <c r="D15" i="24" s="1"/>
  <c r="F17" i="52"/>
  <c r="F18" i="52"/>
  <c r="F14" i="52"/>
  <c r="D13" i="24" s="1"/>
  <c r="D20" i="52"/>
  <c r="E20" i="52"/>
  <c r="AA20" i="52"/>
  <c r="AB20" i="52"/>
  <c r="AC20" i="52"/>
  <c r="AE20" i="52"/>
  <c r="AF20" i="52"/>
  <c r="AG20" i="52"/>
  <c r="AI20" i="52"/>
  <c r="AJ20" i="52"/>
  <c r="AK20" i="52"/>
  <c r="AM20" i="52"/>
  <c r="AN20" i="52"/>
  <c r="AO20" i="52"/>
  <c r="J16" i="24" l="1"/>
  <c r="M15" i="24"/>
  <c r="J15" i="24"/>
  <c r="K16" i="24"/>
  <c r="L17" i="24"/>
  <c r="M13" i="24"/>
  <c r="M14" i="24"/>
  <c r="K17" i="24"/>
  <c r="L13" i="24"/>
  <c r="F57" i="52"/>
  <c r="J14" i="24"/>
  <c r="K15" i="24"/>
  <c r="L16" i="24"/>
  <c r="M17" i="24"/>
  <c r="J17" i="24"/>
  <c r="L14" i="24"/>
  <c r="J13" i="24"/>
  <c r="AD57" i="52"/>
  <c r="K13" i="24"/>
  <c r="K14" i="24"/>
  <c r="L15" i="24"/>
  <c r="M16" i="24"/>
  <c r="AT15" i="52"/>
  <c r="I13" i="24"/>
  <c r="I16" i="24"/>
  <c r="I14" i="24"/>
  <c r="I15" i="24"/>
  <c r="AT18" i="52"/>
  <c r="I17" i="24"/>
  <c r="AT17" i="52"/>
  <c r="AT16" i="52"/>
  <c r="AS20" i="52"/>
  <c r="AR20" i="52"/>
  <c r="AT14" i="52"/>
  <c r="AQ20" i="52"/>
  <c r="Z20" i="52"/>
  <c r="AP20" i="52"/>
  <c r="AH20" i="52"/>
  <c r="AL20" i="52"/>
  <c r="F20" i="52"/>
  <c r="E19" i="24"/>
  <c r="F19" i="24"/>
  <c r="G19" i="24"/>
  <c r="H19" i="24"/>
  <c r="D16" i="24"/>
  <c r="D17" i="24"/>
  <c r="E22" i="24" l="1"/>
  <c r="AH57" i="52"/>
  <c r="N17" i="24"/>
  <c r="AT57" i="52"/>
  <c r="AP57" i="52"/>
  <c r="AL57" i="52"/>
  <c r="N16" i="24"/>
  <c r="N13" i="24"/>
  <c r="N15" i="24"/>
  <c r="N14" i="24"/>
  <c r="I19" i="24"/>
  <c r="U19" i="24"/>
  <c r="Q19" i="24"/>
  <c r="O14" i="24"/>
  <c r="O17" i="24"/>
  <c r="AT20" i="52"/>
  <c r="D19" i="24"/>
  <c r="Y19" i="24"/>
  <c r="L19" i="24"/>
  <c r="X19" i="24"/>
  <c r="W19" i="24"/>
  <c r="K19" i="24"/>
  <c r="J19" i="24"/>
  <c r="AD20" i="52"/>
  <c r="M19" i="24"/>
  <c r="O13" i="24"/>
  <c r="H28" i="24"/>
  <c r="K28" i="24" s="1"/>
  <c r="L28" i="24"/>
  <c r="M28" i="24"/>
  <c r="N28" i="24"/>
  <c r="P28" i="24"/>
  <c r="L29" i="24"/>
  <c r="M29" i="24"/>
  <c r="N29" i="24"/>
  <c r="P29" i="24"/>
  <c r="H30" i="24"/>
  <c r="L30" i="24"/>
  <c r="M30" i="24"/>
  <c r="N30" i="24"/>
  <c r="P30" i="24"/>
  <c r="K31" i="24"/>
  <c r="L31" i="24"/>
  <c r="M31" i="24"/>
  <c r="N31" i="24"/>
  <c r="P31" i="24"/>
  <c r="H32" i="24"/>
  <c r="L32" i="24"/>
  <c r="M32" i="24"/>
  <c r="N32" i="24"/>
  <c r="P32" i="24"/>
  <c r="D34" i="24"/>
  <c r="E34" i="24"/>
  <c r="F34" i="24"/>
  <c r="G34" i="24"/>
  <c r="I34" i="24"/>
  <c r="R22" i="24" l="1"/>
  <c r="K29" i="24"/>
  <c r="J31" i="24"/>
  <c r="P19" i="24"/>
  <c r="AA19" i="24" s="1"/>
  <c r="O19" i="24"/>
  <c r="V19" i="24"/>
  <c r="N19" i="24"/>
  <c r="Z19" i="24"/>
  <c r="O29" i="24"/>
  <c r="J28" i="24"/>
  <c r="N34" i="24"/>
  <c r="O30" i="24"/>
  <c r="Q30" i="24" s="1"/>
  <c r="O31" i="24"/>
  <c r="Q31" i="24" s="1"/>
  <c r="O28" i="24"/>
  <c r="R28" i="24" s="1"/>
  <c r="O32" i="24"/>
  <c r="Q32" i="24" s="1"/>
  <c r="J30" i="24"/>
  <c r="H34" i="24"/>
  <c r="K34" i="24" s="1"/>
  <c r="K32" i="24"/>
  <c r="M34" i="24"/>
  <c r="P34" i="24"/>
  <c r="L34" i="24"/>
  <c r="Q29" i="24" l="1"/>
  <c r="R31" i="24"/>
  <c r="Q28" i="24"/>
  <c r="J34" i="24"/>
  <c r="R32" i="24"/>
  <c r="O34" i="24"/>
  <c r="R34" i="24" s="1"/>
  <c r="Q34" i="24" l="1"/>
</calcChain>
</file>

<file path=xl/sharedStrings.xml><?xml version="1.0" encoding="utf-8"?>
<sst xmlns="http://schemas.openxmlformats.org/spreadsheetml/2006/main" count="380" uniqueCount="73">
  <si>
    <t>TOTAL</t>
  </si>
  <si>
    <t>EJERCIDO</t>
  </si>
  <si>
    <t>METAS</t>
  </si>
  <si>
    <t>PRESUPUESTO AUTORIZADO</t>
  </si>
  <si>
    <t>AMPLIACIÓN</t>
  </si>
  <si>
    <t>REDUCCIÓN</t>
  </si>
  <si>
    <t>UNIDAD DE MEDIDA</t>
  </si>
  <si>
    <t>DEVENGADO</t>
  </si>
  <si>
    <t>%</t>
  </si>
  <si>
    <t>REALIZADAS</t>
  </si>
  <si>
    <t>POR REALIZAR</t>
  </si>
  <si>
    <t>PAGADO</t>
  </si>
  <si>
    <t>COMPROMETIDO</t>
  </si>
  <si>
    <t>PROGRAMADO</t>
  </si>
  <si>
    <t>NO.</t>
  </si>
  <si>
    <t>PROYECTO</t>
  </si>
  <si>
    <t>PROPIOS</t>
  </si>
  <si>
    <t>MODIFICADO</t>
  </si>
  <si>
    <t>MODIFICADAS</t>
  </si>
  <si>
    <t>ACUMULADO</t>
  </si>
  <si>
    <t xml:space="preserve"> PROGRAMA OPERATIVO ANUAL </t>
  </si>
  <si>
    <t>ACUMULADAS</t>
  </si>
  <si>
    <t>PROGRAMADAS</t>
  </si>
  <si>
    <t xml:space="preserve">PROGRAMADO </t>
  </si>
  <si>
    <t>PROGRAMA OPERATIVO ANUAL</t>
  </si>
  <si>
    <t xml:space="preserve"> PROGRAMA OPERATIVO ANUAL POR FUENTE DE FINANCIAMIENTO</t>
  </si>
  <si>
    <t>UCEEP-09</t>
  </si>
  <si>
    <t>PRESUPUESTO ANUAL</t>
  </si>
  <si>
    <t>METAS ANUALES</t>
  </si>
  <si>
    <t>VARIACIÓN</t>
  </si>
  <si>
    <t>EVALUACIÓN PROGRAMATICA-PRESUPUESTAL</t>
  </si>
  <si>
    <t>UCEEP-09-1</t>
  </si>
  <si>
    <t>UNIVERSIDAD TECNOLÓGICA DE TULANCINGO</t>
  </si>
  <si>
    <t>Convenio firmado</t>
  </si>
  <si>
    <t>Evento Realizado</t>
  </si>
  <si>
    <t>Protocolizado / Investigación realizada</t>
  </si>
  <si>
    <t>Sistema en operación</t>
  </si>
  <si>
    <t>Evalución realizada</t>
  </si>
  <si>
    <t>TRANSFERENCIAS</t>
  </si>
  <si>
    <t>RECALENDARIZACIONES</t>
  </si>
  <si>
    <t>APOYO MADRES MEXICANAS 2016</t>
  </si>
  <si>
    <t>Elaboró:</t>
  </si>
  <si>
    <t>Revisó:</t>
  </si>
  <si>
    <t>Autorizó:</t>
  </si>
  <si>
    <t>L.C. Liliana Reyes Kanhan</t>
  </si>
  <si>
    <t>Jefe Depto. Programación y Presupuesto</t>
  </si>
  <si>
    <t>Rector</t>
  </si>
  <si>
    <t>PRODEP</t>
  </si>
  <si>
    <t>APOYO MADRES MEXICANAS 2017</t>
  </si>
  <si>
    <t>SUBSIDIO FEDERAL 2016</t>
  </si>
  <si>
    <t>PRODEP 2018</t>
  </si>
  <si>
    <t>PIEE 2018</t>
  </si>
  <si>
    <t>PADES 2018</t>
  </si>
  <si>
    <t>M.A. Oris Estela Vargas García</t>
  </si>
  <si>
    <t>Encargada de la Dirección de Administración y Finanzas</t>
  </si>
  <si>
    <t>Mtro. José Antonio Zamora Guido</t>
  </si>
  <si>
    <t>SERVICIOS DE EXTENSIÓN Y VINCULACIÓN DE EDUCACIÓN SUPERIOR OTORGADOS</t>
  </si>
  <si>
    <t>EDUCACIÓN SUPERIOR DE CALIDAD A ESTUDIANTES OTORGADA</t>
  </si>
  <si>
    <t>INVESTIGACIÓN CIENTÍFICA, TECNOLÓGICA Y EDUCATIVA REALIZADA</t>
  </si>
  <si>
    <t>PROCESOS DE PLANEACIÓN ESTRATEGICA Y EVALUACIÓN IMPLEMENTADOS</t>
  </si>
  <si>
    <t>PROGRAMA DE GESTIÓN ADMINISTRATIVA DE LAS INSTITUCIONES DE EDUCACIÓN SUPERIOR EJECUTADO</t>
  </si>
  <si>
    <t>RECUPERACIÓN POR ASEGURADORA</t>
  </si>
  <si>
    <t>4TO. TRIMESTRE</t>
  </si>
  <si>
    <t>PIEE 2019</t>
  </si>
  <si>
    <t>FONDO SECTORIAL DE INVESTIGACIÓN PARA LA EDUCACIÓN</t>
  </si>
  <si>
    <t>PROGRAMA DE FORTALECIMIENTO DE LA CALIDAD EDUCATIVA</t>
  </si>
  <si>
    <t>CYTNOVA 2019</t>
  </si>
  <si>
    <t>PRODEP 2019</t>
  </si>
  <si>
    <r>
      <t xml:space="preserve">DEL </t>
    </r>
    <r>
      <rPr>
        <b/>
        <sz val="9"/>
        <color rgb="FFFF0000"/>
        <rFont val="Arial Narrow"/>
        <family val="2"/>
      </rPr>
      <t>1 DE ENERO AL 31 DE DICIEMBRE DEL 2019</t>
    </r>
  </si>
  <si>
    <r>
      <t xml:space="preserve">DEL </t>
    </r>
    <r>
      <rPr>
        <b/>
        <sz val="9"/>
        <color rgb="FFFF0000"/>
        <rFont val="Arial Narrow"/>
        <family val="2"/>
      </rPr>
      <t>1 DE ENERO AL 31 DE DICIEMBRE</t>
    </r>
  </si>
  <si>
    <t>RECURSOS FISCALES</t>
  </si>
  <si>
    <t>RECURSOS FEDERALES</t>
  </si>
  <si>
    <t>INTERESES GANADOS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</si>
</sst>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??_-;_-@_-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8"/>
      <name val="Arial "/>
    </font>
    <font>
      <b/>
      <sz val="8"/>
      <name val="Arial Narrow"/>
      <family val="2"/>
    </font>
    <font>
      <sz val="9"/>
      <color theme="0"/>
      <name val="Arial Narrow"/>
      <family val="2"/>
    </font>
    <font>
      <sz val="8"/>
      <name val="Calibri"/>
      <family val="2"/>
      <scheme val="minor"/>
    </font>
    <font>
      <b/>
      <sz val="8"/>
      <color indexed="8"/>
      <name val="Arial Narrow"/>
      <family val="2"/>
    </font>
    <font>
      <sz val="9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7"/>
      <name val="Arial 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43" fontId="5" fillId="2" borderId="0" applyFill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4" fillId="0" borderId="0" xfId="5" applyFont="1"/>
    <xf numFmtId="0" fontId="4" fillId="0" borderId="1" xfId="5" applyFont="1" applyBorder="1"/>
    <xf numFmtId="0" fontId="3" fillId="0" borderId="0" xfId="0" applyFont="1"/>
    <xf numFmtId="0" fontId="4" fillId="0" borderId="9" xfId="5" applyFont="1" applyBorder="1"/>
    <xf numFmtId="0" fontId="3" fillId="0" borderId="15" xfId="5" applyFont="1" applyBorder="1" applyAlignment="1">
      <alignment horizontal="center"/>
    </xf>
    <xf numFmtId="0" fontId="3" fillId="3" borderId="5" xfId="5" applyFont="1" applyFill="1" applyBorder="1" applyAlignment="1">
      <alignment horizontal="center" vertical="center" wrapText="1"/>
    </xf>
    <xf numFmtId="0" fontId="3" fillId="0" borderId="15" xfId="5" applyFont="1" applyBorder="1"/>
    <xf numFmtId="0" fontId="3" fillId="0" borderId="0" xfId="0" applyFont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4" fillId="0" borderId="2" xfId="9" applyNumberFormat="1" applyFont="1" applyBorder="1" applyAlignment="1">
      <alignment horizontal="center" vertical="center"/>
    </xf>
    <xf numFmtId="0" fontId="4" fillId="0" borderId="10" xfId="9" applyNumberFormat="1" applyFont="1" applyBorder="1" applyAlignment="1">
      <alignment horizontal="center" vertical="center"/>
    </xf>
    <xf numFmtId="0" fontId="4" fillId="0" borderId="11" xfId="9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9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4" fontId="4" fillId="0" borderId="12" xfId="12" applyNumberFormat="1" applyFont="1" applyBorder="1" applyAlignment="1">
      <alignment horizontal="center"/>
    </xf>
    <xf numFmtId="164" fontId="3" fillId="0" borderId="15" xfId="5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10" fontId="4" fillId="0" borderId="1" xfId="9" applyNumberFormat="1" applyFont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12" fillId="0" borderId="0" xfId="0" applyFont="1" applyFill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44" fontId="4" fillId="0" borderId="1" xfId="3" applyFont="1" applyBorder="1" applyAlignment="1">
      <alignment horizontal="center" vertical="center"/>
    </xf>
    <xf numFmtId="44" fontId="4" fillId="0" borderId="22" xfId="3" applyFont="1" applyBorder="1" applyAlignment="1">
      <alignment horizontal="center" vertical="center"/>
    </xf>
    <xf numFmtId="44" fontId="3" fillId="0" borderId="15" xfId="3" applyFont="1" applyBorder="1" applyAlignment="1">
      <alignment horizontal="center" vertical="center"/>
    </xf>
    <xf numFmtId="44" fontId="4" fillId="0" borderId="0" xfId="3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4" fillId="0" borderId="0" xfId="5" applyFont="1" applyFill="1"/>
    <xf numFmtId="0" fontId="4" fillId="0" borderId="0" xfId="0" applyFont="1" applyFill="1"/>
    <xf numFmtId="44" fontId="4" fillId="0" borderId="12" xfId="12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10" fontId="3" fillId="0" borderId="15" xfId="9" applyNumberFormat="1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Border="1" applyAlignment="1">
      <alignment horizontal="center"/>
    </xf>
    <xf numFmtId="44" fontId="3" fillId="0" borderId="0" xfId="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4" fillId="0" borderId="9" xfId="1" applyNumberFormat="1" applyFont="1" applyBorder="1" applyAlignment="1">
      <alignment horizontal="center" vertical="center"/>
    </xf>
    <xf numFmtId="1" fontId="3" fillId="0" borderId="17" xfId="9" applyNumberFormat="1" applyFont="1" applyBorder="1" applyAlignment="1">
      <alignment horizontal="center" vertical="center"/>
    </xf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6" fillId="4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9" fontId="4" fillId="0" borderId="15" xfId="9" applyFont="1" applyBorder="1" applyAlignment="1">
      <alignment horizontal="center" vertical="center"/>
    </xf>
    <xf numFmtId="44" fontId="4" fillId="0" borderId="1" xfId="9" applyNumberFormat="1" applyFont="1" applyBorder="1" applyAlignment="1">
      <alignment horizontal="center" vertical="center"/>
    </xf>
    <xf numFmtId="0" fontId="4" fillId="0" borderId="24" xfId="9" applyNumberFormat="1" applyFont="1" applyBorder="1" applyAlignment="1">
      <alignment horizontal="center" vertical="center"/>
    </xf>
    <xf numFmtId="1" fontId="3" fillId="0" borderId="15" xfId="9" applyNumberFormat="1" applyFont="1" applyBorder="1" applyAlignment="1">
      <alignment horizontal="center" vertical="center"/>
    </xf>
    <xf numFmtId="43" fontId="4" fillId="0" borderId="0" xfId="0" applyNumberFormat="1" applyFont="1"/>
    <xf numFmtId="43" fontId="3" fillId="0" borderId="0" xfId="0" applyNumberFormat="1" applyFont="1" applyAlignment="1">
      <alignment vertical="center" wrapText="1"/>
    </xf>
    <xf numFmtId="0" fontId="12" fillId="0" borderId="0" xfId="1" applyNumberFormat="1" applyFont="1" applyBorder="1" applyAlignment="1">
      <alignment horizontal="left" vertical="top" wrapText="1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9" fontId="3" fillId="0" borderId="15" xfId="9" applyFont="1" applyBorder="1" applyAlignment="1">
      <alignment horizontal="center" vertical="center"/>
    </xf>
    <xf numFmtId="44" fontId="4" fillId="0" borderId="0" xfId="5" applyNumberFormat="1" applyFont="1"/>
    <xf numFmtId="0" fontId="3" fillId="4" borderId="17" xfId="0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left" vertical="center" wrapText="1"/>
    </xf>
    <xf numFmtId="164" fontId="4" fillId="0" borderId="0" xfId="3" applyNumberFormat="1" applyFont="1" applyFill="1" applyBorder="1" applyAlignment="1">
      <alignment horizontal="right" vertical="center"/>
    </xf>
    <xf numFmtId="164" fontId="10" fillId="0" borderId="0" xfId="3" applyNumberFormat="1" applyFont="1" applyFill="1" applyBorder="1" applyAlignment="1">
      <alignment horizontal="right" vertical="center"/>
    </xf>
    <xf numFmtId="0" fontId="19" fillId="0" borderId="0" xfId="0" applyFont="1" applyFill="1"/>
    <xf numFmtId="164" fontId="18" fillId="0" borderId="0" xfId="3" applyNumberFormat="1" applyFont="1" applyFill="1" applyBorder="1" applyAlignment="1">
      <alignment horizontal="right" vertical="center"/>
    </xf>
    <xf numFmtId="164" fontId="19" fillId="0" borderId="0" xfId="3" applyNumberFormat="1" applyFont="1" applyFill="1" applyBorder="1" applyAlignment="1">
      <alignment horizontal="right" vertical="center"/>
    </xf>
    <xf numFmtId="0" fontId="19" fillId="0" borderId="0" xfId="5" applyFont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44" fontId="3" fillId="0" borderId="0" xfId="0" applyNumberFormat="1" applyFont="1" applyAlignment="1">
      <alignment vertical="center" wrapText="1"/>
    </xf>
    <xf numFmtId="164" fontId="4" fillId="0" borderId="0" xfId="5" applyNumberFormat="1" applyFont="1"/>
    <xf numFmtId="164" fontId="10" fillId="0" borderId="0" xfId="3" applyNumberFormat="1" applyFont="1" applyFill="1" applyBorder="1" applyAlignment="1">
      <alignment horizontal="center" vertical="center"/>
    </xf>
    <xf numFmtId="164" fontId="10" fillId="0" borderId="0" xfId="3" applyNumberFormat="1" applyFont="1" applyFill="1" applyBorder="1" applyAlignment="1">
      <alignment vertical="center"/>
    </xf>
    <xf numFmtId="164" fontId="10" fillId="0" borderId="0" xfId="3" applyNumberFormat="1" applyFont="1" applyFill="1" applyBorder="1" applyAlignment="1">
      <alignment vertical="center" wrapText="1"/>
    </xf>
    <xf numFmtId="9" fontId="4" fillId="0" borderId="0" xfId="10" applyFont="1"/>
    <xf numFmtId="10" fontId="4" fillId="0" borderId="0" xfId="10" applyNumberFormat="1" applyFont="1" applyBorder="1" applyAlignment="1">
      <alignment horizontal="center" vertical="center"/>
    </xf>
    <xf numFmtId="10" fontId="4" fillId="0" borderId="0" xfId="3" applyNumberFormat="1" applyFont="1" applyBorder="1" applyAlignment="1">
      <alignment horizontal="center" vertical="center"/>
    </xf>
    <xf numFmtId="44" fontId="4" fillId="5" borderId="1" xfId="12" applyNumberFormat="1" applyFont="1" applyFill="1" applyBorder="1" applyAlignment="1">
      <alignment horizontal="left"/>
    </xf>
    <xf numFmtId="44" fontId="3" fillId="5" borderId="12" xfId="12" applyNumberFormat="1" applyFont="1" applyFill="1" applyBorder="1" applyAlignment="1">
      <alignment horizontal="center"/>
    </xf>
    <xf numFmtId="44" fontId="4" fillId="5" borderId="12" xfId="12" applyNumberFormat="1" applyFont="1" applyFill="1" applyBorder="1" applyAlignment="1">
      <alignment horizontal="center"/>
    </xf>
    <xf numFmtId="44" fontId="3" fillId="0" borderId="0" xfId="5" applyNumberFormat="1" applyFont="1" applyFill="1" applyBorder="1" applyAlignment="1">
      <alignment horizontal="center"/>
    </xf>
    <xf numFmtId="0" fontId="3" fillId="5" borderId="9" xfId="5" applyFont="1" applyFill="1" applyBorder="1" applyAlignment="1">
      <alignment horizontal="center" vertical="center"/>
    </xf>
    <xf numFmtId="0" fontId="3" fillId="5" borderId="12" xfId="5" applyFont="1" applyFill="1" applyBorder="1" applyAlignment="1">
      <alignment horizontal="left" vertical="center" wrapText="1"/>
    </xf>
    <xf numFmtId="0" fontId="4" fillId="5" borderId="0" xfId="5" applyFont="1" applyFill="1"/>
    <xf numFmtId="0" fontId="3" fillId="5" borderId="15" xfId="5" applyFont="1" applyFill="1" applyBorder="1"/>
    <xf numFmtId="0" fontId="3" fillId="5" borderId="15" xfId="5" applyFont="1" applyFill="1" applyBorder="1" applyAlignment="1">
      <alignment horizontal="center"/>
    </xf>
    <xf numFmtId="164" fontId="3" fillId="5" borderId="15" xfId="5" applyNumberFormat="1" applyFont="1" applyFill="1" applyBorder="1" applyAlignment="1">
      <alignment horizontal="right"/>
    </xf>
    <xf numFmtId="9" fontId="4" fillId="0" borderId="22" xfId="9" applyFont="1" applyBorder="1" applyAlignment="1">
      <alignment horizontal="center" vertical="center"/>
    </xf>
    <xf numFmtId="44" fontId="4" fillId="0" borderId="11" xfId="3" applyFont="1" applyBorder="1" applyAlignment="1">
      <alignment horizontal="center" vertical="center"/>
    </xf>
    <xf numFmtId="9" fontId="4" fillId="0" borderId="11" xfId="9" applyFont="1" applyBorder="1" applyAlignment="1">
      <alignment horizontal="center" vertical="center"/>
    </xf>
    <xf numFmtId="165" fontId="3" fillId="5" borderId="12" xfId="12" applyNumberFormat="1" applyFont="1" applyFill="1" applyBorder="1" applyAlignment="1">
      <alignment horizontal="center"/>
    </xf>
    <xf numFmtId="44" fontId="4" fillId="5" borderId="1" xfId="3" applyFont="1" applyFill="1" applyBorder="1" applyAlignment="1">
      <alignment horizontal="center" vertical="center"/>
    </xf>
    <xf numFmtId="44" fontId="4" fillId="5" borderId="1" xfId="12" applyNumberFormat="1" applyFont="1" applyFill="1" applyBorder="1"/>
    <xf numFmtId="44" fontId="3" fillId="5" borderId="15" xfId="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4" fillId="5" borderId="12" xfId="3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center"/>
    </xf>
    <xf numFmtId="44" fontId="3" fillId="5" borderId="15" xfId="5" applyNumberFormat="1" applyFont="1" applyFill="1" applyBorder="1" applyAlignment="1">
      <alignment horizontal="center" vertical="center"/>
    </xf>
    <xf numFmtId="0" fontId="15" fillId="5" borderId="10" xfId="13" applyFont="1" applyFill="1" applyBorder="1" applyAlignment="1">
      <alignment horizontal="center" vertical="center" wrapText="1"/>
    </xf>
    <xf numFmtId="10" fontId="4" fillId="5" borderId="1" xfId="9" applyNumberFormat="1" applyFont="1" applyFill="1" applyBorder="1" applyAlignment="1">
      <alignment horizontal="center" vertical="center"/>
    </xf>
    <xf numFmtId="1" fontId="4" fillId="6" borderId="9" xfId="1" applyNumberFormat="1" applyFont="1" applyFill="1" applyBorder="1" applyAlignment="1">
      <alignment horizontal="center" vertical="center"/>
    </xf>
    <xf numFmtId="0" fontId="4" fillId="6" borderId="9" xfId="9" applyNumberFormat="1" applyFont="1" applyFill="1" applyBorder="1" applyAlignment="1">
      <alignment horizontal="center" vertical="center"/>
    </xf>
    <xf numFmtId="0" fontId="4" fillId="6" borderId="1" xfId="9" applyNumberFormat="1" applyFont="1" applyFill="1" applyBorder="1" applyAlignment="1">
      <alignment horizontal="center" vertical="center"/>
    </xf>
    <xf numFmtId="9" fontId="4" fillId="6" borderId="1" xfId="9" applyFont="1" applyFill="1" applyBorder="1" applyAlignment="1">
      <alignment horizontal="center" vertical="center"/>
    </xf>
    <xf numFmtId="1" fontId="4" fillId="6" borderId="1" xfId="9" applyNumberFormat="1" applyFont="1" applyFill="1" applyBorder="1" applyAlignment="1">
      <alignment horizontal="center" vertical="center"/>
    </xf>
    <xf numFmtId="9" fontId="4" fillId="6" borderId="23" xfId="9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left"/>
    </xf>
    <xf numFmtId="44" fontId="4" fillId="5" borderId="12" xfId="1" applyNumberFormat="1" applyFont="1" applyFill="1" applyBorder="1" applyAlignment="1">
      <alignment horizontal="center"/>
    </xf>
    <xf numFmtId="44" fontId="3" fillId="5" borderId="12" xfId="1" applyNumberFormat="1" applyFont="1" applyFill="1" applyBorder="1" applyAlignment="1">
      <alignment horizontal="center"/>
    </xf>
    <xf numFmtId="49" fontId="4" fillId="5" borderId="12" xfId="1" applyNumberFormat="1" applyFont="1" applyFill="1" applyBorder="1" applyAlignment="1">
      <alignment horizontal="center"/>
    </xf>
    <xf numFmtId="44" fontId="3" fillId="5" borderId="12" xfId="12" applyNumberFormat="1" applyFont="1" applyFill="1" applyBorder="1" applyAlignment="1">
      <alignment horizontal="center" vertical="center"/>
    </xf>
    <xf numFmtId="0" fontId="4" fillId="5" borderId="9" xfId="5" applyFont="1" applyFill="1" applyBorder="1"/>
    <xf numFmtId="0" fontId="4" fillId="5" borderId="1" xfId="5" applyFont="1" applyFill="1" applyBorder="1"/>
    <xf numFmtId="44" fontId="4" fillId="5" borderId="0" xfId="5" applyNumberFormat="1" applyFont="1" applyFill="1"/>
    <xf numFmtId="44" fontId="20" fillId="0" borderId="0" xfId="1" applyNumberFormat="1" applyFont="1" applyBorder="1" applyAlignment="1">
      <alignment horizontal="left" vertical="top" wrapText="1"/>
    </xf>
    <xf numFmtId="165" fontId="4" fillId="5" borderId="1" xfId="12" applyNumberFormat="1" applyFont="1" applyFill="1" applyBorder="1" applyAlignment="1">
      <alignment horizontal="left"/>
    </xf>
    <xf numFmtId="44" fontId="3" fillId="0" borderId="15" xfId="3" applyFont="1" applyFill="1" applyBorder="1" applyAlignment="1">
      <alignment horizontal="center" vertical="center"/>
    </xf>
    <xf numFmtId="44" fontId="3" fillId="5" borderId="15" xfId="5" applyNumberFormat="1" applyFont="1" applyFill="1" applyBorder="1" applyAlignment="1"/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10" fillId="0" borderId="0" xfId="3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164" fontId="18" fillId="0" borderId="0" xfId="3" applyNumberFormat="1" applyFont="1" applyFill="1" applyBorder="1" applyAlignment="1">
      <alignment horizontal="center" vertical="center"/>
    </xf>
    <xf numFmtId="164" fontId="10" fillId="0" borderId="0" xfId="3" applyNumberFormat="1" applyFont="1" applyFill="1" applyBorder="1" applyAlignment="1">
      <alignment horizontal="center" vertical="center" wrapText="1"/>
    </xf>
    <xf numFmtId="164" fontId="18" fillId="0" borderId="0" xfId="3" applyNumberFormat="1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4" borderId="13" xfId="5" applyFont="1" applyFill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8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3" fillId="3" borderId="7" xfId="5" applyFont="1" applyFill="1" applyBorder="1" applyAlignment="1">
      <alignment horizontal="center" vertical="center" wrapText="1"/>
    </xf>
    <xf numFmtId="0" fontId="3" fillId="3" borderId="16" xfId="5" applyFont="1" applyFill="1" applyBorder="1" applyAlignment="1">
      <alignment horizontal="center" vertical="center" wrapText="1"/>
    </xf>
    <xf numFmtId="0" fontId="3" fillId="3" borderId="17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/>
    </xf>
    <xf numFmtId="0" fontId="3" fillId="3" borderId="7" xfId="5" applyFont="1" applyFill="1" applyBorder="1" applyAlignment="1">
      <alignment horizontal="center" vertical="center"/>
    </xf>
    <xf numFmtId="0" fontId="3" fillId="4" borderId="16" xfId="5" applyFont="1" applyFill="1" applyBorder="1" applyAlignment="1">
      <alignment horizontal="center" vertical="center"/>
    </xf>
    <xf numFmtId="0" fontId="3" fillId="4" borderId="17" xfId="5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4" fillId="0" borderId="0" xfId="5" applyFont="1" applyAlignment="1">
      <alignment horizontal="center"/>
    </xf>
  </cellXfs>
  <cellStyles count="14">
    <cellStyle name="Millares" xfId="12" builtinId="3"/>
    <cellStyle name="Millares 2" xfId="1"/>
    <cellStyle name="Millares 2 2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13"/>
    <cellStyle name="pedro" xfId="8"/>
    <cellStyle name="Porcentaje" xfId="9" builtinId="5"/>
    <cellStyle name="Porcentual 2" xfId="10"/>
    <cellStyle name="Porcentu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3</xdr:row>
      <xdr:rowOff>130752</xdr:rowOff>
    </xdr:from>
    <xdr:to>
      <xdr:col>26</xdr:col>
      <xdr:colOff>428625</xdr:colOff>
      <xdr:row>5</xdr:row>
      <xdr:rowOff>14719</xdr:rowOff>
    </xdr:to>
    <xdr:sp macro="" textlink="">
      <xdr:nvSpPr>
        <xdr:cNvPr id="14" name="13 CuadroTexto"/>
        <xdr:cNvSpPr txBox="1"/>
      </xdr:nvSpPr>
      <xdr:spPr>
        <a:xfrm>
          <a:off x="19087234" y="745547"/>
          <a:ext cx="1092777" cy="230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Hoja 1 de 1</a:t>
          </a:r>
        </a:p>
      </xdr:txBody>
    </xdr:sp>
    <xdr:clientData/>
  </xdr:twoCellAnchor>
  <xdr:twoCellAnchor editAs="oneCell">
    <xdr:from>
      <xdr:col>23</xdr:col>
      <xdr:colOff>428626</xdr:colOff>
      <xdr:row>0</xdr:row>
      <xdr:rowOff>66674</xdr:rowOff>
    </xdr:from>
    <xdr:to>
      <xdr:col>24</xdr:col>
      <xdr:colOff>521154</xdr:colOff>
      <xdr:row>3</xdr:row>
      <xdr:rowOff>154939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3189" y="66674"/>
          <a:ext cx="990600" cy="703263"/>
        </a:xfrm>
        <a:prstGeom prst="rect">
          <a:avLst/>
        </a:prstGeom>
      </xdr:spPr>
    </xdr:pic>
    <xdr:clientData/>
  </xdr:twoCellAnchor>
  <xdr:twoCellAnchor editAs="oneCell">
    <xdr:from>
      <xdr:col>0</xdr:col>
      <xdr:colOff>309563</xdr:colOff>
      <xdr:row>1</xdr:row>
      <xdr:rowOff>1</xdr:rowOff>
    </xdr:from>
    <xdr:to>
      <xdr:col>3</xdr:col>
      <xdr:colOff>197304</xdr:colOff>
      <xdr:row>4</xdr:row>
      <xdr:rowOff>1888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174626"/>
          <a:ext cx="2262187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361950</xdr:colOff>
      <xdr:row>0</xdr:row>
      <xdr:rowOff>155372</xdr:rowOff>
    </xdr:from>
    <xdr:to>
      <xdr:col>45</xdr:col>
      <xdr:colOff>675160</xdr:colOff>
      <xdr:row>4</xdr:row>
      <xdr:rowOff>157011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0" y="155372"/>
          <a:ext cx="1030760" cy="679502"/>
        </a:xfrm>
        <a:prstGeom prst="rect">
          <a:avLst/>
        </a:prstGeom>
      </xdr:spPr>
    </xdr:pic>
    <xdr:clientData/>
  </xdr:twoCellAnchor>
  <xdr:twoCellAnchor>
    <xdr:from>
      <xdr:col>44</xdr:col>
      <xdr:colOff>301624</xdr:colOff>
      <xdr:row>8</xdr:row>
      <xdr:rowOff>50800</xdr:rowOff>
    </xdr:from>
    <xdr:to>
      <xdr:col>45</xdr:col>
      <xdr:colOff>680026</xdr:colOff>
      <xdr:row>9</xdr:row>
      <xdr:rowOff>2</xdr:rowOff>
    </xdr:to>
    <xdr:sp macro="" textlink="">
      <xdr:nvSpPr>
        <xdr:cNvPr id="5" name="13 CuadroTexto"/>
        <xdr:cNvSpPr txBox="1"/>
      </xdr:nvSpPr>
      <xdr:spPr>
        <a:xfrm>
          <a:off x="35182174" y="1581150"/>
          <a:ext cx="1095952" cy="266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Hoja 1 de 1</a:t>
          </a:r>
        </a:p>
      </xdr:txBody>
    </xdr:sp>
    <xdr:clientData/>
  </xdr:twoCellAnchor>
  <xdr:twoCellAnchor editAs="oneCell">
    <xdr:from>
      <xdr:col>0</xdr:col>
      <xdr:colOff>123826</xdr:colOff>
      <xdr:row>1</xdr:row>
      <xdr:rowOff>76200</xdr:rowOff>
    </xdr:from>
    <xdr:to>
      <xdr:col>1</xdr:col>
      <xdr:colOff>1895475</xdr:colOff>
      <xdr:row>4</xdr:row>
      <xdr:rowOff>163361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247650"/>
          <a:ext cx="2047874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E58"/>
  <sheetViews>
    <sheetView tabSelected="1" view="pageBreakPreview" zoomScale="130" zoomScaleNormal="100" zoomScaleSheetLayoutView="130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E13" sqref="E13"/>
    </sheetView>
  </sheetViews>
  <sheetFormatPr baseColWidth="10" defaultColWidth="11.42578125" defaultRowHeight="13.5"/>
  <cols>
    <col min="1" max="1" width="13.5703125" style="1" customWidth="1"/>
    <col min="2" max="2" width="9.28515625" style="1" customWidth="1"/>
    <col min="3" max="3" width="12.7109375" style="1" customWidth="1"/>
    <col min="4" max="4" width="12.28515625" style="1" customWidth="1"/>
    <col min="5" max="5" width="11" style="1" customWidth="1"/>
    <col min="6" max="6" width="11.140625" style="1" customWidth="1"/>
    <col min="7" max="8" width="11.28515625" style="1" customWidth="1"/>
    <col min="9" max="13" width="12" style="1" customWidth="1"/>
    <col min="14" max="14" width="12.28515625" style="1" customWidth="1"/>
    <col min="15" max="15" width="11" style="1" customWidth="1"/>
    <col min="16" max="17" width="13.140625" style="1" customWidth="1"/>
    <col min="18" max="18" width="11.28515625" style="1" customWidth="1"/>
    <col min="19" max="20" width="11" style="1" customWidth="1"/>
    <col min="21" max="22" width="11.7109375" style="1" customWidth="1"/>
    <col min="23" max="23" width="11.85546875" style="1" customWidth="1"/>
    <col min="24" max="24" width="13.42578125" style="1" customWidth="1"/>
    <col min="25" max="25" width="12" style="1" customWidth="1"/>
    <col min="26" max="26" width="11.85546875" style="1" customWidth="1"/>
    <col min="27" max="27" width="7.140625" style="1" customWidth="1"/>
    <col min="28" max="28" width="7.42578125" style="1" customWidth="1"/>
    <col min="29" max="16384" width="11.42578125" style="1"/>
  </cols>
  <sheetData>
    <row r="1" spans="1:28" ht="13.5" customHeight="1">
      <c r="B1" s="147"/>
      <c r="C1" s="147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52"/>
      <c r="AB1" s="152"/>
    </row>
    <row r="2" spans="1:28" ht="14.25" thickBot="1">
      <c r="B2" s="22"/>
      <c r="C2" s="22"/>
      <c r="D2" s="42"/>
      <c r="E2" s="42"/>
      <c r="F2" s="42"/>
      <c r="G2" s="50"/>
      <c r="H2" s="50"/>
      <c r="I2" s="42"/>
      <c r="J2" s="42"/>
      <c r="K2" s="42"/>
      <c r="L2" s="42"/>
      <c r="M2" s="42"/>
      <c r="N2" s="42"/>
      <c r="O2" s="42"/>
      <c r="P2" s="42"/>
      <c r="Q2" s="42"/>
      <c r="R2" s="42"/>
      <c r="S2" s="47"/>
      <c r="T2" s="47"/>
      <c r="U2" s="42"/>
      <c r="V2" s="42"/>
      <c r="W2" s="42"/>
      <c r="X2" s="42"/>
      <c r="Y2" s="42"/>
      <c r="Z2" s="42"/>
    </row>
    <row r="3" spans="1:28" ht="20.25" customHeight="1" thickBot="1">
      <c r="B3" s="42"/>
      <c r="C3" s="42"/>
      <c r="D3" s="42"/>
      <c r="E3" s="42"/>
      <c r="F3" s="42"/>
      <c r="G3" s="50"/>
      <c r="H3" s="50"/>
      <c r="I3" s="42"/>
      <c r="J3" s="42"/>
      <c r="K3" s="42"/>
      <c r="L3" s="42"/>
      <c r="M3" s="42"/>
      <c r="N3" s="42"/>
      <c r="O3" s="42"/>
      <c r="P3" s="42"/>
      <c r="Q3" s="42"/>
      <c r="R3" s="42"/>
      <c r="S3" s="47"/>
      <c r="T3" s="47"/>
      <c r="U3" s="42"/>
      <c r="V3" s="42"/>
      <c r="W3" s="42"/>
      <c r="X3" s="42"/>
      <c r="Y3" s="42"/>
      <c r="Z3" s="153" t="s">
        <v>26</v>
      </c>
      <c r="AA3" s="154"/>
    </row>
    <row r="4" spans="1:28">
      <c r="A4" s="151" t="s">
        <v>32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2"/>
    </row>
    <row r="5" spans="1:28">
      <c r="A5" s="151" t="s">
        <v>68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2"/>
    </row>
    <row r="6" spans="1:28">
      <c r="A6" s="151" t="s">
        <v>20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2"/>
    </row>
    <row r="7" spans="1:28">
      <c r="A7" s="151" t="s">
        <v>30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2"/>
    </row>
    <row r="8" spans="1:28" ht="14.25" thickBot="1"/>
    <row r="9" spans="1:28" s="5" customFormat="1" ht="14.25" customHeight="1" thickBot="1">
      <c r="A9" s="138" t="s">
        <v>15</v>
      </c>
      <c r="B9" s="139"/>
      <c r="C9" s="155" t="s">
        <v>27</v>
      </c>
      <c r="D9" s="148" t="s">
        <v>3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50"/>
    </row>
    <row r="10" spans="1:28" s="5" customFormat="1" ht="14.25" customHeight="1" thickBot="1">
      <c r="A10" s="140"/>
      <c r="B10" s="141"/>
      <c r="C10" s="156"/>
      <c r="D10" s="148" t="s">
        <v>62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48" t="s">
        <v>19</v>
      </c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50"/>
    </row>
    <row r="11" spans="1:28" s="5" customFormat="1" ht="14.25" customHeight="1" thickBot="1">
      <c r="A11" s="140"/>
      <c r="B11" s="141"/>
      <c r="C11" s="156"/>
      <c r="D11" s="123" t="s">
        <v>23</v>
      </c>
      <c r="E11" s="158" t="s">
        <v>38</v>
      </c>
      <c r="F11" s="159"/>
      <c r="G11" s="158" t="s">
        <v>39</v>
      </c>
      <c r="H11" s="159"/>
      <c r="I11" s="123" t="s">
        <v>17</v>
      </c>
      <c r="J11" s="162" t="s">
        <v>12</v>
      </c>
      <c r="K11" s="123" t="s">
        <v>7</v>
      </c>
      <c r="L11" s="123" t="s">
        <v>1</v>
      </c>
      <c r="M11" s="123" t="s">
        <v>11</v>
      </c>
      <c r="N11" s="123" t="s">
        <v>29</v>
      </c>
      <c r="O11" s="123" t="s">
        <v>8</v>
      </c>
      <c r="P11" s="123" t="s">
        <v>23</v>
      </c>
      <c r="Q11" s="158" t="s">
        <v>38</v>
      </c>
      <c r="R11" s="159"/>
      <c r="S11" s="148" t="s">
        <v>39</v>
      </c>
      <c r="T11" s="150"/>
      <c r="U11" s="123" t="s">
        <v>17</v>
      </c>
      <c r="V11" s="144" t="s">
        <v>12</v>
      </c>
      <c r="W11" s="144" t="s">
        <v>7</v>
      </c>
      <c r="X11" s="144" t="s">
        <v>1</v>
      </c>
      <c r="Y11" s="144" t="s">
        <v>11</v>
      </c>
      <c r="Z11" s="144" t="s">
        <v>29</v>
      </c>
      <c r="AA11" s="144" t="s">
        <v>8</v>
      </c>
    </row>
    <row r="12" spans="1:28" s="5" customFormat="1" ht="14.25" customHeight="1" thickBot="1">
      <c r="A12" s="142"/>
      <c r="B12" s="143"/>
      <c r="C12" s="157"/>
      <c r="D12" s="125"/>
      <c r="E12" s="11" t="s">
        <v>4</v>
      </c>
      <c r="F12" s="11" t="s">
        <v>5</v>
      </c>
      <c r="G12" s="11" t="s">
        <v>4</v>
      </c>
      <c r="H12" s="11" t="s">
        <v>5</v>
      </c>
      <c r="I12" s="125"/>
      <c r="J12" s="163"/>
      <c r="K12" s="125"/>
      <c r="L12" s="125"/>
      <c r="M12" s="125"/>
      <c r="N12" s="125"/>
      <c r="O12" s="125"/>
      <c r="P12" s="125"/>
      <c r="Q12" s="64" t="s">
        <v>4</v>
      </c>
      <c r="R12" s="11" t="s">
        <v>5</v>
      </c>
      <c r="S12" s="11" t="s">
        <v>4</v>
      </c>
      <c r="T12" s="11" t="s">
        <v>5</v>
      </c>
      <c r="U12" s="125"/>
      <c r="V12" s="145"/>
      <c r="W12" s="145"/>
      <c r="X12" s="145"/>
      <c r="Y12" s="145"/>
      <c r="Z12" s="145"/>
      <c r="AA12" s="145"/>
    </row>
    <row r="13" spans="1:28" ht="54" customHeight="1">
      <c r="A13" s="129" t="s">
        <v>56</v>
      </c>
      <c r="B13" s="130"/>
      <c r="C13" s="100">
        <v>549854.96</v>
      </c>
      <c r="D13" s="96">
        <f>('UCEEP-09-01'!F14)</f>
        <v>157983</v>
      </c>
      <c r="E13" s="29">
        <f>'UCEEP-09-01'!J14</f>
        <v>142120.89000000001</v>
      </c>
      <c r="F13" s="29">
        <f>'UCEEP-09-01'!N14</f>
        <v>142120.89000000001</v>
      </c>
      <c r="G13" s="29">
        <f>'UCEEP-09-01'!R14</f>
        <v>60437.32</v>
      </c>
      <c r="H13" s="29">
        <f>'UCEEP-09-01'!V14</f>
        <v>60437.32</v>
      </c>
      <c r="I13" s="29">
        <f>'UCEEP-09-01'!Z14</f>
        <v>157983</v>
      </c>
      <c r="J13" s="29">
        <f>'UCEEP-09-01'!AD14</f>
        <v>173186.58</v>
      </c>
      <c r="K13" s="29">
        <f>'UCEEP-09-01'!AH14</f>
        <v>173186.58</v>
      </c>
      <c r="L13" s="29">
        <f>'UCEEP-09-01'!AL14</f>
        <v>173186.58</v>
      </c>
      <c r="M13" s="29">
        <f>'UCEEP-09-01'!AP14</f>
        <v>173186.58</v>
      </c>
      <c r="N13" s="54">
        <f>'UCEEP-09-01'!AT14</f>
        <v>-15203.580000000005</v>
      </c>
      <c r="O13" s="23">
        <f>((D13-M13)/(D13)*(100%))</f>
        <v>-9.6235544330719042E-2</v>
      </c>
      <c r="P13" s="29">
        <f>'UCEEP-09-01'!F51</f>
        <v>549854.96</v>
      </c>
      <c r="Q13" s="29">
        <f>'UCEEP-09-01'!J51</f>
        <v>315892.53000000003</v>
      </c>
      <c r="R13" s="29">
        <f>'UCEEP-09-01'!N51</f>
        <v>315892.53000000003</v>
      </c>
      <c r="S13" s="29">
        <f>'UCEEP-09-01'!R51</f>
        <v>132237.15</v>
      </c>
      <c r="T13" s="29">
        <f>'UCEEP-09-01'!V51</f>
        <v>132237.15</v>
      </c>
      <c r="U13" s="29">
        <f>'UCEEP-09-01'!Z51</f>
        <v>549854.96</v>
      </c>
      <c r="V13" s="29">
        <f>'UCEEP-09-01'!AD51</f>
        <v>477570.67999999993</v>
      </c>
      <c r="W13" s="29">
        <f>'UCEEP-09-01'!AH51</f>
        <v>477570.67999999993</v>
      </c>
      <c r="X13" s="29">
        <f>'UCEEP-09-01'!AL51</f>
        <v>477570.67999999993</v>
      </c>
      <c r="Y13" s="29">
        <f>'UCEEP-09-01'!AP51</f>
        <v>477570.67999999993</v>
      </c>
      <c r="Z13" s="54">
        <f>'UCEEP-09-01'!AT51</f>
        <v>72284.28</v>
      </c>
      <c r="AA13" s="23">
        <f>((P13-Y13)/(P13)*(100%))</f>
        <v>0.131460630999855</v>
      </c>
    </row>
    <row r="14" spans="1:28" ht="54" customHeight="1">
      <c r="A14" s="129" t="s">
        <v>57</v>
      </c>
      <c r="B14" s="130"/>
      <c r="C14" s="96">
        <v>6944828</v>
      </c>
      <c r="D14" s="96">
        <f>('UCEEP-09-01'!F15)</f>
        <v>1603176</v>
      </c>
      <c r="E14" s="29">
        <f>'UCEEP-09-01'!J15</f>
        <v>1240241.4100000001</v>
      </c>
      <c r="F14" s="29">
        <f>'UCEEP-09-01'!N15</f>
        <v>3877844.8</v>
      </c>
      <c r="G14" s="29">
        <f>'UCEEP-09-01'!R15</f>
        <v>1962528.45</v>
      </c>
      <c r="H14" s="29">
        <f>'UCEEP-09-01'!V15</f>
        <v>1962528.45</v>
      </c>
      <c r="I14" s="29">
        <f>'UCEEP-09-01'!Z15</f>
        <v>-1034427.3899999997</v>
      </c>
      <c r="J14" s="29">
        <f>'UCEEP-09-01'!AD15</f>
        <v>2090167.1199999999</v>
      </c>
      <c r="K14" s="29">
        <f>'UCEEP-09-01'!AH15</f>
        <v>2090167.1199999999</v>
      </c>
      <c r="L14" s="29">
        <f>'UCEEP-09-01'!AL15</f>
        <v>2090167.1199999999</v>
      </c>
      <c r="M14" s="29">
        <f>'UCEEP-09-01'!AP15</f>
        <v>1921150.4000000001</v>
      </c>
      <c r="N14" s="54">
        <f>'UCEEP-09-01'!AT15</f>
        <v>-3124594.5099999993</v>
      </c>
      <c r="O14" s="23">
        <f t="shared" ref="O14:O17" si="0">((D14-M14)/(D14)*(100%))</f>
        <v>-0.19834029451538704</v>
      </c>
      <c r="P14" s="29">
        <f>'UCEEP-09-01'!F52</f>
        <v>8010228</v>
      </c>
      <c r="Q14" s="29">
        <f>'UCEEP-09-01'!J52</f>
        <v>1782909.0799999998</v>
      </c>
      <c r="R14" s="29">
        <f>'UCEEP-09-01'!N52</f>
        <v>4420512.47</v>
      </c>
      <c r="S14" s="29">
        <f>'UCEEP-09-01'!R52</f>
        <v>2355986.9</v>
      </c>
      <c r="T14" s="29">
        <f>'UCEEP-09-01'!V52</f>
        <v>2355986.9</v>
      </c>
      <c r="U14" s="29">
        <f>'UCEEP-09-01'!Z52</f>
        <v>5372624.6100000003</v>
      </c>
      <c r="V14" s="29">
        <f>'UCEEP-09-01'!AD52</f>
        <v>4215287.75</v>
      </c>
      <c r="W14" s="29">
        <f>'UCEEP-09-01'!AH52</f>
        <v>4215287.75</v>
      </c>
      <c r="X14" s="29">
        <f>'UCEEP-09-01'!AL52</f>
        <v>4215287.75</v>
      </c>
      <c r="Y14" s="29">
        <f>'UCEEP-09-01'!AP52</f>
        <v>4046271.0300000003</v>
      </c>
      <c r="Z14" s="54">
        <f>'UCEEP-09-01'!AT52</f>
        <v>1157336.8600000003</v>
      </c>
      <c r="AA14" s="23">
        <f t="shared" ref="AA14:AA17" si="1">((P14-Y14)/(P14)*(100%))</f>
        <v>0.49486194025937835</v>
      </c>
    </row>
    <row r="15" spans="1:28" ht="54" customHeight="1">
      <c r="A15" s="129" t="s">
        <v>58</v>
      </c>
      <c r="B15" s="130"/>
      <c r="C15" s="96">
        <v>27000</v>
      </c>
      <c r="D15" s="96">
        <f>('UCEEP-09-01'!F16)</f>
        <v>0</v>
      </c>
      <c r="E15" s="29">
        <f>'UCEEP-09-01'!J16</f>
        <v>13746.5</v>
      </c>
      <c r="F15" s="29">
        <f>'UCEEP-09-01'!N16</f>
        <v>13746.5</v>
      </c>
      <c r="G15" s="29">
        <f>'UCEEP-09-01'!R16</f>
        <v>13746.5</v>
      </c>
      <c r="H15" s="29">
        <f>'UCEEP-09-01'!V16</f>
        <v>13746.5</v>
      </c>
      <c r="I15" s="29">
        <f>'UCEEP-09-01'!Z16</f>
        <v>0</v>
      </c>
      <c r="J15" s="29">
        <f>'UCEEP-09-01'!AD16</f>
        <v>13746.5</v>
      </c>
      <c r="K15" s="29">
        <f>'UCEEP-09-01'!AH16</f>
        <v>13746.5</v>
      </c>
      <c r="L15" s="29">
        <f>'UCEEP-09-01'!AL16</f>
        <v>13746.5</v>
      </c>
      <c r="M15" s="29">
        <f>'UCEEP-09-01'!AP16</f>
        <v>12746.5</v>
      </c>
      <c r="N15" s="54">
        <f>'UCEEP-09-01'!AT16</f>
        <v>-13746.5</v>
      </c>
      <c r="O15" s="104">
        <v>0</v>
      </c>
      <c r="P15" s="29">
        <f>'UCEEP-09-01'!F53</f>
        <v>27000</v>
      </c>
      <c r="Q15" s="29">
        <f>'UCEEP-09-01'!J53</f>
        <v>23590.98</v>
      </c>
      <c r="R15" s="29">
        <f>'UCEEP-09-01'!N53</f>
        <v>23590.98</v>
      </c>
      <c r="S15" s="29">
        <f>'UCEEP-09-01'!R53</f>
        <v>17259.849999999999</v>
      </c>
      <c r="T15" s="29">
        <f>'UCEEP-09-01'!V53</f>
        <v>17259.849999999999</v>
      </c>
      <c r="U15" s="29">
        <f>'UCEEP-09-01'!Z53</f>
        <v>27000</v>
      </c>
      <c r="V15" s="29">
        <f>'UCEEP-09-01'!AD53</f>
        <v>27000</v>
      </c>
      <c r="W15" s="29">
        <f>'UCEEP-09-01'!AH53</f>
        <v>27000</v>
      </c>
      <c r="X15" s="29">
        <f>'UCEEP-09-01'!AL53</f>
        <v>27000</v>
      </c>
      <c r="Y15" s="29">
        <f>'UCEEP-09-01'!AP53</f>
        <v>26000</v>
      </c>
      <c r="Z15" s="54">
        <f>'UCEEP-09-01'!AT53</f>
        <v>0</v>
      </c>
      <c r="AA15" s="23">
        <f t="shared" si="1"/>
        <v>3.7037037037037035E-2</v>
      </c>
    </row>
    <row r="16" spans="1:28" ht="54" customHeight="1">
      <c r="A16" s="129" t="s">
        <v>59</v>
      </c>
      <c r="B16" s="130"/>
      <c r="C16" s="96">
        <v>254998</v>
      </c>
      <c r="D16" s="96">
        <f>('UCEEP-09-01'!F17)</f>
        <v>0</v>
      </c>
      <c r="E16" s="29">
        <f>'UCEEP-09-01'!J17</f>
        <v>2192.36</v>
      </c>
      <c r="F16" s="29">
        <f>'UCEEP-09-01'!N17</f>
        <v>2192.36</v>
      </c>
      <c r="G16" s="29">
        <f>'UCEEP-09-01'!R17</f>
        <v>108619</v>
      </c>
      <c r="H16" s="29">
        <f>'UCEEP-09-01'!V17</f>
        <v>108619</v>
      </c>
      <c r="I16" s="29">
        <f>'UCEEP-09-01'!Z17</f>
        <v>0</v>
      </c>
      <c r="J16" s="29">
        <f>'UCEEP-09-01'!AD17</f>
        <v>108619</v>
      </c>
      <c r="K16" s="29">
        <f>'UCEEP-09-01'!AH17</f>
        <v>108619</v>
      </c>
      <c r="L16" s="29">
        <f>'UCEEP-09-01'!AL17</f>
        <v>108619</v>
      </c>
      <c r="M16" s="29">
        <f>'UCEEP-09-01'!AP17</f>
        <v>107782.39999999999</v>
      </c>
      <c r="N16" s="54">
        <f>'UCEEP-09-01'!AT17</f>
        <v>-108619</v>
      </c>
      <c r="O16" s="104">
        <v>0</v>
      </c>
      <c r="P16" s="29">
        <f>'UCEEP-09-01'!F54</f>
        <v>254998</v>
      </c>
      <c r="Q16" s="29">
        <f>'UCEEP-09-01'!J54</f>
        <v>98712.36</v>
      </c>
      <c r="R16" s="29">
        <f>'UCEEP-09-01'!N54</f>
        <v>98712.36</v>
      </c>
      <c r="S16" s="29">
        <f>'UCEEP-09-01'!R54</f>
        <v>246875</v>
      </c>
      <c r="T16" s="29">
        <f>'UCEEP-09-01'!V54</f>
        <v>246875</v>
      </c>
      <c r="U16" s="29">
        <f>'UCEEP-09-01'!Z54</f>
        <v>254998</v>
      </c>
      <c r="V16" s="29">
        <f>'UCEEP-09-01'!AD54</f>
        <v>254998</v>
      </c>
      <c r="W16" s="29">
        <f>'UCEEP-09-01'!AH54</f>
        <v>254998</v>
      </c>
      <c r="X16" s="29">
        <f>'UCEEP-09-01'!AL54</f>
        <v>254998</v>
      </c>
      <c r="Y16" s="29">
        <f>'UCEEP-09-01'!AP54</f>
        <v>254161.4</v>
      </c>
      <c r="Z16" s="54">
        <f>'UCEEP-09-01'!AT54</f>
        <v>0</v>
      </c>
      <c r="AA16" s="23">
        <f t="shared" si="1"/>
        <v>3.2808100455690077E-3</v>
      </c>
    </row>
    <row r="17" spans="1:31" ht="54" customHeight="1">
      <c r="A17" s="129" t="s">
        <v>60</v>
      </c>
      <c r="B17" s="130"/>
      <c r="C17" s="96">
        <v>61089753.039999992</v>
      </c>
      <c r="D17" s="96">
        <f>('UCEEP-09-01'!F18)</f>
        <v>22921207.310000002</v>
      </c>
      <c r="E17" s="29">
        <f>'UCEEP-09-01'!J18</f>
        <v>2947592.45</v>
      </c>
      <c r="F17" s="29">
        <f>'UCEEP-09-01'!N18</f>
        <v>2334410.87</v>
      </c>
      <c r="G17" s="29">
        <f>'UCEEP-09-01'!R18</f>
        <v>3022471.32</v>
      </c>
      <c r="H17" s="29">
        <f>'UCEEP-09-01'!V18</f>
        <v>3022471.32</v>
      </c>
      <c r="I17" s="29">
        <f>'UCEEP-09-01'!Z18</f>
        <v>23534388.890000001</v>
      </c>
      <c r="J17" s="29">
        <f>'UCEEP-09-01'!AD18</f>
        <v>25837872.600000001</v>
      </c>
      <c r="K17" s="29">
        <f>'UCEEP-09-01'!AH18</f>
        <v>25837872.600000001</v>
      </c>
      <c r="L17" s="29">
        <f>'UCEEP-09-01'!AL18</f>
        <v>25837872.600000001</v>
      </c>
      <c r="M17" s="29">
        <f>'UCEEP-09-01'!AP18</f>
        <v>24431845.34</v>
      </c>
      <c r="N17" s="54">
        <f>'UCEEP-09-01'!AT18</f>
        <v>-2303483.7100000004</v>
      </c>
      <c r="O17" s="23">
        <f t="shared" si="0"/>
        <v>-6.5905692033112945E-2</v>
      </c>
      <c r="P17" s="29">
        <f>'UCEEP-09-01'!F55</f>
        <v>64950948.549999997</v>
      </c>
      <c r="Q17" s="29">
        <f>'UCEEP-09-01'!J55</f>
        <v>3731178.6900000004</v>
      </c>
      <c r="R17" s="29">
        <f>'UCEEP-09-01'!N55</f>
        <v>3117997.11</v>
      </c>
      <c r="S17" s="29">
        <f>'UCEEP-09-01'!R55</f>
        <v>5540219.5099999998</v>
      </c>
      <c r="T17" s="29">
        <f>'UCEEP-09-01'!V55</f>
        <v>5540219.5099999998</v>
      </c>
      <c r="U17" s="29">
        <f>'UCEEP-09-01'!Z55</f>
        <v>65564130.129999995</v>
      </c>
      <c r="V17" s="29">
        <f>'UCEEP-09-01'!AD55</f>
        <v>64629507.009999998</v>
      </c>
      <c r="W17" s="29">
        <f>'UCEEP-09-01'!AH55</f>
        <v>64629507.009999998</v>
      </c>
      <c r="X17" s="29">
        <f>'UCEEP-09-01'!AL55</f>
        <v>64629507.009999998</v>
      </c>
      <c r="Y17" s="29">
        <f>'UCEEP-09-01'!AP55</f>
        <v>63223479.75</v>
      </c>
      <c r="Z17" s="54">
        <f>'UCEEP-09-01'!AT55</f>
        <v>934623.12000000081</v>
      </c>
      <c r="AA17" s="23">
        <f t="shared" si="1"/>
        <v>2.6596513808727081E-2</v>
      </c>
    </row>
    <row r="18" spans="1:31" ht="6" customHeight="1" thickBot="1">
      <c r="A18" s="160"/>
      <c r="B18" s="16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92"/>
      <c r="O18" s="92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</row>
    <row r="19" spans="1:31" s="5" customFormat="1" ht="20.25" customHeight="1" thickBot="1">
      <c r="A19" s="126" t="s">
        <v>0</v>
      </c>
      <c r="B19" s="127"/>
      <c r="C19" s="31">
        <f>SUM(C13:C17)</f>
        <v>68866433.999999985</v>
      </c>
      <c r="D19" s="31">
        <f t="shared" ref="D19:N19" si="2">SUM(D13:D17)</f>
        <v>24682366.310000002</v>
      </c>
      <c r="E19" s="31">
        <f t="shared" si="2"/>
        <v>4345893.6100000003</v>
      </c>
      <c r="F19" s="31">
        <f t="shared" si="2"/>
        <v>6370315.4199999999</v>
      </c>
      <c r="G19" s="31">
        <f t="shared" si="2"/>
        <v>5167802.59</v>
      </c>
      <c r="H19" s="31">
        <f t="shared" si="2"/>
        <v>5167802.59</v>
      </c>
      <c r="I19" s="31">
        <f t="shared" si="2"/>
        <v>22657944.5</v>
      </c>
      <c r="J19" s="31">
        <f t="shared" si="2"/>
        <v>28223591.800000001</v>
      </c>
      <c r="K19" s="31">
        <f t="shared" si="2"/>
        <v>28223591.800000001</v>
      </c>
      <c r="L19" s="31">
        <f t="shared" si="2"/>
        <v>28223591.800000001</v>
      </c>
      <c r="M19" s="31">
        <f t="shared" si="2"/>
        <v>26646711.219999999</v>
      </c>
      <c r="N19" s="31">
        <f t="shared" si="2"/>
        <v>-5565647.2999999998</v>
      </c>
      <c r="O19" s="38">
        <f>((D19-M19)/(D19)*(100%))</f>
        <v>-7.9584950864461754E-2</v>
      </c>
      <c r="P19" s="31">
        <f t="shared" ref="P19:Z19" si="3">SUM(P13:P17)</f>
        <v>73793029.50999999</v>
      </c>
      <c r="Q19" s="31">
        <f t="shared" si="3"/>
        <v>5952283.6400000006</v>
      </c>
      <c r="R19" s="31">
        <f>SUM(R13:R17)</f>
        <v>7976705.4500000011</v>
      </c>
      <c r="S19" s="121">
        <f>SUM(S13:S17)</f>
        <v>8292578.4100000001</v>
      </c>
      <c r="T19" s="121">
        <f>SUM(T13:T17)</f>
        <v>8292578.4100000001</v>
      </c>
      <c r="U19" s="31">
        <f t="shared" si="3"/>
        <v>71768607.699999988</v>
      </c>
      <c r="V19" s="31">
        <f t="shared" si="3"/>
        <v>69604363.439999998</v>
      </c>
      <c r="W19" s="31">
        <f t="shared" si="3"/>
        <v>69604363.439999998</v>
      </c>
      <c r="X19" s="31">
        <f t="shared" si="3"/>
        <v>69604363.439999998</v>
      </c>
      <c r="Y19" s="31">
        <f t="shared" si="3"/>
        <v>68027482.859999999</v>
      </c>
      <c r="Z19" s="31">
        <f t="shared" si="3"/>
        <v>2164244.2600000012</v>
      </c>
      <c r="AA19" s="38">
        <f>((P19-Y19)/(P19)*(100%))</f>
        <v>7.8131317934557479E-2</v>
      </c>
    </row>
    <row r="20" spans="1:31" ht="13.5" customHeight="1">
      <c r="B20" s="17"/>
      <c r="C20" s="17"/>
      <c r="D20" s="17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8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18"/>
    </row>
    <row r="21" spans="1:31" ht="14.2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32"/>
      <c r="W21" s="32"/>
      <c r="X21" s="32"/>
      <c r="Y21" s="32"/>
      <c r="Z21" s="32"/>
      <c r="AA21" s="32"/>
      <c r="AB21" s="18"/>
    </row>
    <row r="22" spans="1:31" ht="14.25" customHeight="1">
      <c r="A22" s="59"/>
      <c r="B22" s="59"/>
      <c r="C22" s="59"/>
      <c r="D22" s="59"/>
      <c r="E22" s="119">
        <f>E19-F19</f>
        <v>-2024421.8099999996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119">
        <f>Q19-R19</f>
        <v>-2024421.8100000005</v>
      </c>
      <c r="S22" s="59"/>
      <c r="T22" s="59"/>
      <c r="U22" s="59"/>
      <c r="V22" s="32"/>
      <c r="W22" s="32"/>
      <c r="X22" s="32"/>
      <c r="Y22" s="32"/>
      <c r="Z22" s="32"/>
      <c r="AA22" s="32"/>
      <c r="AB22" s="18"/>
    </row>
    <row r="23" spans="1:31" ht="14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32"/>
      <c r="W23" s="32"/>
      <c r="X23" s="32"/>
      <c r="Y23" s="32"/>
      <c r="Z23" s="32"/>
      <c r="AA23" s="32"/>
      <c r="AB23" s="18"/>
    </row>
    <row r="24" spans="1:31" ht="14.25" customHeight="1" thickBot="1">
      <c r="B24" s="17"/>
      <c r="C24" s="17"/>
      <c r="D24" s="17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80"/>
      <c r="U24" s="32"/>
      <c r="V24" s="32"/>
      <c r="W24" s="32"/>
      <c r="X24" s="32"/>
      <c r="Y24" s="32"/>
      <c r="Z24" s="32"/>
      <c r="AA24" s="32"/>
      <c r="AB24" s="18"/>
    </row>
    <row r="25" spans="1:31" ht="14.25" customHeight="1" thickBot="1">
      <c r="A25" s="138" t="s">
        <v>15</v>
      </c>
      <c r="B25" s="139"/>
      <c r="C25" s="123" t="s">
        <v>6</v>
      </c>
      <c r="D25" s="123" t="s">
        <v>28</v>
      </c>
      <c r="E25" s="131" t="s">
        <v>2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  <c r="S25" s="32"/>
      <c r="T25" s="32"/>
      <c r="U25" s="32"/>
      <c r="V25" s="32"/>
      <c r="W25" s="32"/>
      <c r="X25" s="32"/>
      <c r="Y25" s="32"/>
      <c r="Z25" s="32"/>
      <c r="AA25" s="32"/>
      <c r="AB25" s="60"/>
      <c r="AC25" s="61"/>
      <c r="AD25" s="32"/>
      <c r="AE25" s="32"/>
    </row>
    <row r="26" spans="1:31" ht="20.25" customHeight="1" thickBot="1">
      <c r="A26" s="140"/>
      <c r="B26" s="141"/>
      <c r="C26" s="124"/>
      <c r="D26" s="124"/>
      <c r="E26" s="131" t="s">
        <v>62</v>
      </c>
      <c r="F26" s="132"/>
      <c r="G26" s="132"/>
      <c r="H26" s="132"/>
      <c r="I26" s="132"/>
      <c r="J26" s="132"/>
      <c r="K26" s="133"/>
      <c r="L26" s="131" t="s">
        <v>21</v>
      </c>
      <c r="M26" s="132"/>
      <c r="N26" s="132"/>
      <c r="O26" s="132"/>
      <c r="P26" s="132"/>
      <c r="Q26" s="132"/>
      <c r="R26" s="133"/>
      <c r="S26" s="32"/>
      <c r="T26" s="32"/>
      <c r="U26" s="32"/>
      <c r="V26" s="32"/>
      <c r="W26" s="32"/>
      <c r="X26" s="32"/>
      <c r="Y26" s="32"/>
      <c r="Z26" s="32"/>
      <c r="AA26" s="32"/>
      <c r="AB26" s="60"/>
      <c r="AC26" s="61"/>
      <c r="AD26" s="32"/>
      <c r="AE26" s="32"/>
    </row>
    <row r="27" spans="1:31" ht="24" customHeight="1" thickBot="1">
      <c r="A27" s="142"/>
      <c r="B27" s="143"/>
      <c r="C27" s="125"/>
      <c r="D27" s="125"/>
      <c r="E27" s="24" t="s">
        <v>22</v>
      </c>
      <c r="F27" s="51" t="s">
        <v>4</v>
      </c>
      <c r="G27" s="13" t="s">
        <v>5</v>
      </c>
      <c r="H27" s="11" t="s">
        <v>18</v>
      </c>
      <c r="I27" s="13" t="s">
        <v>9</v>
      </c>
      <c r="J27" s="12" t="s">
        <v>10</v>
      </c>
      <c r="K27" s="13" t="s">
        <v>8</v>
      </c>
      <c r="L27" s="24" t="s">
        <v>22</v>
      </c>
      <c r="M27" s="13" t="s">
        <v>4</v>
      </c>
      <c r="N27" s="13" t="s">
        <v>5</v>
      </c>
      <c r="O27" s="11" t="s">
        <v>18</v>
      </c>
      <c r="P27" s="13" t="s">
        <v>9</v>
      </c>
      <c r="Q27" s="12" t="s">
        <v>10</v>
      </c>
      <c r="R27" s="13" t="s">
        <v>8</v>
      </c>
      <c r="S27" s="32"/>
      <c r="T27" s="32"/>
      <c r="U27" s="32"/>
      <c r="V27" s="32"/>
      <c r="W27" s="32"/>
      <c r="X27" s="32"/>
      <c r="Y27" s="32"/>
      <c r="Z27" s="32"/>
      <c r="AA27" s="32"/>
    </row>
    <row r="28" spans="1:31" ht="56.25" customHeight="1">
      <c r="A28" s="129" t="s">
        <v>56</v>
      </c>
      <c r="B28" s="130"/>
      <c r="C28" s="103" t="s">
        <v>33</v>
      </c>
      <c r="D28" s="105">
        <v>40</v>
      </c>
      <c r="E28" s="106">
        <v>40</v>
      </c>
      <c r="F28" s="107">
        <v>0</v>
      </c>
      <c r="G28" s="107">
        <v>0</v>
      </c>
      <c r="H28" s="107">
        <f t="shared" ref="H28:H32" si="4">+E28+F28-G28</f>
        <v>40</v>
      </c>
      <c r="I28" s="107">
        <v>40</v>
      </c>
      <c r="J28" s="107">
        <f t="shared" ref="J28:J31" si="5">+H28-I28</f>
        <v>0</v>
      </c>
      <c r="K28" s="108">
        <f>I28/H28</f>
        <v>1</v>
      </c>
      <c r="L28" s="106">
        <f t="shared" ref="L28:N28" si="6">+E28</f>
        <v>40</v>
      </c>
      <c r="M28" s="107">
        <f t="shared" si="6"/>
        <v>0</v>
      </c>
      <c r="N28" s="107">
        <f t="shared" si="6"/>
        <v>0</v>
      </c>
      <c r="O28" s="109">
        <f t="shared" ref="O28" si="7">+L28+M28-N28</f>
        <v>40</v>
      </c>
      <c r="P28" s="109">
        <f>+I28</f>
        <v>40</v>
      </c>
      <c r="Q28" s="107">
        <f>+O28-P28</f>
        <v>0</v>
      </c>
      <c r="R28" s="110">
        <f>P28/O28</f>
        <v>1</v>
      </c>
      <c r="T28" s="79"/>
    </row>
    <row r="29" spans="1:31" ht="56.25" customHeight="1">
      <c r="A29" s="129" t="s">
        <v>57</v>
      </c>
      <c r="B29" s="130"/>
      <c r="C29" s="103" t="s">
        <v>34</v>
      </c>
      <c r="D29" s="105">
        <v>3025</v>
      </c>
      <c r="E29" s="106">
        <v>3025</v>
      </c>
      <c r="F29" s="107">
        <v>36</v>
      </c>
      <c r="G29" s="107">
        <v>0</v>
      </c>
      <c r="H29" s="107">
        <v>3061</v>
      </c>
      <c r="I29" s="107">
        <v>3061</v>
      </c>
      <c r="J29" s="107">
        <v>0</v>
      </c>
      <c r="K29" s="108">
        <f t="shared" ref="K29:K32" si="8">I29/H29</f>
        <v>1</v>
      </c>
      <c r="L29" s="106">
        <f t="shared" ref="L29:L32" si="9">+E29</f>
        <v>3025</v>
      </c>
      <c r="M29" s="107">
        <f t="shared" ref="M29:M32" si="10">+F29</f>
        <v>36</v>
      </c>
      <c r="N29" s="107">
        <f t="shared" ref="N29:N32" si="11">+G29</f>
        <v>0</v>
      </c>
      <c r="O29" s="109">
        <f t="shared" ref="O29:O32" si="12">+L29+M29-N29</f>
        <v>3061</v>
      </c>
      <c r="P29" s="109">
        <f>+I29</f>
        <v>3061</v>
      </c>
      <c r="Q29" s="107">
        <f>+O29-P29</f>
        <v>0</v>
      </c>
      <c r="R29" s="110">
        <v>1.01</v>
      </c>
    </row>
    <row r="30" spans="1:31" ht="56.25" customHeight="1">
      <c r="A30" s="129" t="s">
        <v>58</v>
      </c>
      <c r="B30" s="130"/>
      <c r="C30" s="103" t="s">
        <v>35</v>
      </c>
      <c r="D30" s="105">
        <v>6</v>
      </c>
      <c r="E30" s="106">
        <v>6</v>
      </c>
      <c r="F30" s="107">
        <v>0</v>
      </c>
      <c r="G30" s="107">
        <v>0</v>
      </c>
      <c r="H30" s="107">
        <f t="shared" si="4"/>
        <v>6</v>
      </c>
      <c r="I30" s="107">
        <v>6</v>
      </c>
      <c r="J30" s="107">
        <f t="shared" si="5"/>
        <v>0</v>
      </c>
      <c r="K30" s="108">
        <f t="shared" si="8"/>
        <v>1</v>
      </c>
      <c r="L30" s="106">
        <f t="shared" si="9"/>
        <v>6</v>
      </c>
      <c r="M30" s="107">
        <f t="shared" si="10"/>
        <v>0</v>
      </c>
      <c r="N30" s="107">
        <f t="shared" si="11"/>
        <v>0</v>
      </c>
      <c r="O30" s="109">
        <f t="shared" si="12"/>
        <v>6</v>
      </c>
      <c r="P30" s="109">
        <f>+I30</f>
        <v>6</v>
      </c>
      <c r="Q30" s="107">
        <f>+O30-P30</f>
        <v>0</v>
      </c>
      <c r="R30" s="110">
        <v>0</v>
      </c>
    </row>
    <row r="31" spans="1:31" ht="56.25" customHeight="1">
      <c r="A31" s="129" t="s">
        <v>59</v>
      </c>
      <c r="B31" s="130"/>
      <c r="C31" s="103" t="s">
        <v>37</v>
      </c>
      <c r="D31" s="105">
        <v>12</v>
      </c>
      <c r="E31" s="106">
        <v>12</v>
      </c>
      <c r="F31" s="107">
        <v>0</v>
      </c>
      <c r="G31" s="107">
        <v>0</v>
      </c>
      <c r="H31" s="107">
        <v>12</v>
      </c>
      <c r="I31" s="107">
        <v>12</v>
      </c>
      <c r="J31" s="107">
        <f t="shared" si="5"/>
        <v>0</v>
      </c>
      <c r="K31" s="108">
        <f t="shared" si="8"/>
        <v>1</v>
      </c>
      <c r="L31" s="106">
        <f t="shared" si="9"/>
        <v>12</v>
      </c>
      <c r="M31" s="107">
        <f t="shared" si="10"/>
        <v>0</v>
      </c>
      <c r="N31" s="107">
        <f t="shared" si="11"/>
        <v>0</v>
      </c>
      <c r="O31" s="109">
        <f t="shared" si="12"/>
        <v>12</v>
      </c>
      <c r="P31" s="109">
        <f>+I31</f>
        <v>12</v>
      </c>
      <c r="Q31" s="107">
        <f>+O31-P31</f>
        <v>0</v>
      </c>
      <c r="R31" s="110">
        <f>P31/O31</f>
        <v>1</v>
      </c>
    </row>
    <row r="32" spans="1:31" ht="56.25" customHeight="1" thickBot="1">
      <c r="A32" s="129" t="s">
        <v>60</v>
      </c>
      <c r="B32" s="130"/>
      <c r="C32" s="103" t="s">
        <v>36</v>
      </c>
      <c r="D32" s="105">
        <v>12</v>
      </c>
      <c r="E32" s="106">
        <v>12</v>
      </c>
      <c r="F32" s="107">
        <v>0</v>
      </c>
      <c r="G32" s="107">
        <v>0</v>
      </c>
      <c r="H32" s="107">
        <f t="shared" si="4"/>
        <v>12</v>
      </c>
      <c r="I32" s="107">
        <v>12</v>
      </c>
      <c r="J32" s="107">
        <v>12</v>
      </c>
      <c r="K32" s="108">
        <f t="shared" si="8"/>
        <v>1</v>
      </c>
      <c r="L32" s="106">
        <f t="shared" si="9"/>
        <v>12</v>
      </c>
      <c r="M32" s="107">
        <f t="shared" si="10"/>
        <v>0</v>
      </c>
      <c r="N32" s="107">
        <f t="shared" si="11"/>
        <v>0</v>
      </c>
      <c r="O32" s="109">
        <f t="shared" si="12"/>
        <v>12</v>
      </c>
      <c r="P32" s="109">
        <f>+I32</f>
        <v>12</v>
      </c>
      <c r="Q32" s="107">
        <f>+O32-P32</f>
        <v>0</v>
      </c>
      <c r="R32" s="110">
        <f>P32/O32</f>
        <v>1</v>
      </c>
    </row>
    <row r="33" spans="1:28" ht="6" customHeight="1" thickBot="1">
      <c r="A33" s="135"/>
      <c r="B33" s="136"/>
      <c r="C33" s="137"/>
      <c r="D33" s="44"/>
      <c r="E33" s="15"/>
      <c r="F33" s="16"/>
      <c r="G33" s="16"/>
      <c r="H33" s="14"/>
      <c r="I33" s="14"/>
      <c r="J33" s="14"/>
      <c r="K33" s="14"/>
      <c r="L33" s="15"/>
      <c r="M33" s="16"/>
      <c r="N33" s="16"/>
      <c r="O33" s="14"/>
      <c r="P33" s="14"/>
      <c r="Q33" s="14"/>
      <c r="R33" s="55"/>
    </row>
    <row r="34" spans="1:28" ht="24" customHeight="1" thickBot="1">
      <c r="A34" s="126" t="s">
        <v>0</v>
      </c>
      <c r="B34" s="134"/>
      <c r="C34" s="127"/>
      <c r="D34" s="45">
        <f t="shared" ref="D34:J34" si="13">SUM(D28:D32)</f>
        <v>3095</v>
      </c>
      <c r="E34" s="45">
        <f t="shared" si="13"/>
        <v>3095</v>
      </c>
      <c r="F34" s="45">
        <f t="shared" si="13"/>
        <v>36</v>
      </c>
      <c r="G34" s="45">
        <f t="shared" si="13"/>
        <v>0</v>
      </c>
      <c r="H34" s="45">
        <f t="shared" si="13"/>
        <v>3131</v>
      </c>
      <c r="I34" s="45">
        <f t="shared" si="13"/>
        <v>3131</v>
      </c>
      <c r="J34" s="45">
        <f t="shared" si="13"/>
        <v>12</v>
      </c>
      <c r="K34" s="62">
        <f>I34/H34</f>
        <v>1</v>
      </c>
      <c r="L34" s="56">
        <f t="shared" ref="L34:Q34" si="14">SUM(L28:L32)</f>
        <v>3095</v>
      </c>
      <c r="M34" s="45">
        <f t="shared" si="14"/>
        <v>36</v>
      </c>
      <c r="N34" s="45">
        <f t="shared" si="14"/>
        <v>0</v>
      </c>
      <c r="O34" s="45">
        <f t="shared" si="14"/>
        <v>3131</v>
      </c>
      <c r="P34" s="45">
        <f t="shared" si="14"/>
        <v>3131</v>
      </c>
      <c r="Q34" s="45">
        <f t="shared" si="14"/>
        <v>0</v>
      </c>
      <c r="R34" s="53">
        <f>P34/O34</f>
        <v>1</v>
      </c>
    </row>
    <row r="35" spans="1:28" ht="18.75" customHeight="1"/>
    <row r="36" spans="1:28" ht="18.75" customHeight="1"/>
    <row r="37" spans="1:28" ht="18.75" customHeight="1"/>
    <row r="38" spans="1:28" ht="18.75" customHeight="1"/>
    <row r="39" spans="1:28" ht="18.75" customHeight="1"/>
    <row r="40" spans="1:28" ht="18.75" customHeight="1"/>
    <row r="41" spans="1:28" ht="18.75" customHeight="1"/>
    <row r="42" spans="1:28" ht="18.75" customHeight="1"/>
    <row r="43" spans="1:28" ht="18.75" customHeight="1"/>
    <row r="44" spans="1:28" s="25" customFormat="1" ht="24.75" customHeight="1">
      <c r="A44" s="72"/>
      <c r="B44" s="128" t="s">
        <v>41</v>
      </c>
      <c r="C44" s="128"/>
      <c r="D44" s="128"/>
      <c r="E44" s="77"/>
      <c r="F44" s="77"/>
      <c r="G44" s="77"/>
      <c r="H44" s="77"/>
      <c r="I44" s="77"/>
      <c r="J44" s="77"/>
      <c r="K44" s="77"/>
      <c r="L44" s="128" t="s">
        <v>42</v>
      </c>
      <c r="M44" s="128"/>
      <c r="N44" s="128"/>
      <c r="O44" s="76"/>
      <c r="P44" s="72"/>
      <c r="Q44" s="72"/>
      <c r="R44" s="72"/>
      <c r="S44" s="72"/>
      <c r="T44" s="72"/>
      <c r="U44" s="72"/>
      <c r="V44" s="72"/>
      <c r="W44" s="128" t="s">
        <v>43</v>
      </c>
      <c r="X44" s="128"/>
      <c r="Y44" s="128"/>
      <c r="Z44" s="72"/>
      <c r="AA44" s="72"/>
      <c r="AB44" s="72"/>
    </row>
    <row r="45" spans="1:28" s="25" customFormat="1" ht="24.75" customHeight="1">
      <c r="B45" s="67"/>
      <c r="C45" s="67"/>
      <c r="D45" s="43"/>
      <c r="E45" s="43"/>
      <c r="F45" s="43"/>
      <c r="G45" s="49"/>
      <c r="H45" s="49"/>
      <c r="I45" s="43"/>
      <c r="J45" s="43"/>
      <c r="K45" s="43"/>
      <c r="L45" s="67"/>
      <c r="M45" s="67"/>
      <c r="N45" s="73"/>
      <c r="O45" s="67"/>
      <c r="P45" s="43"/>
      <c r="Q45" s="43"/>
      <c r="R45" s="43"/>
      <c r="S45" s="48"/>
      <c r="T45" s="48"/>
      <c r="U45" s="43"/>
      <c r="V45" s="43"/>
      <c r="W45" s="67"/>
      <c r="X45" s="67"/>
      <c r="Y45" s="66"/>
      <c r="Z45" s="43"/>
      <c r="AA45" s="43"/>
      <c r="AB45" s="43"/>
    </row>
    <row r="46" spans="1:28" s="25" customFormat="1" ht="24.75" customHeight="1">
      <c r="B46" s="67"/>
      <c r="C46" s="67"/>
      <c r="D46" s="43"/>
      <c r="E46" s="43"/>
      <c r="F46" s="43"/>
      <c r="G46" s="49"/>
      <c r="H46" s="49"/>
      <c r="I46" s="43"/>
      <c r="J46" s="43"/>
      <c r="K46" s="43"/>
      <c r="L46" s="67"/>
      <c r="M46" s="67"/>
      <c r="N46" s="73"/>
      <c r="O46" s="67"/>
      <c r="P46" s="43"/>
      <c r="Q46" s="43"/>
      <c r="R46" s="43"/>
      <c r="S46" s="48"/>
      <c r="T46" s="48"/>
      <c r="U46" s="43"/>
      <c r="V46" s="43"/>
      <c r="W46" s="67"/>
      <c r="X46" s="67"/>
      <c r="Y46" s="66"/>
      <c r="Z46" s="43"/>
      <c r="AA46" s="43"/>
      <c r="AB46" s="43"/>
    </row>
    <row r="47" spans="1:28" s="25" customFormat="1" ht="24.75" customHeight="1">
      <c r="B47" s="165" t="s">
        <v>44</v>
      </c>
      <c r="C47" s="165"/>
      <c r="D47" s="165"/>
      <c r="E47" s="165"/>
      <c r="F47" s="78"/>
      <c r="G47" s="78"/>
      <c r="H47" s="78"/>
      <c r="I47" s="78"/>
      <c r="J47" s="78"/>
      <c r="K47" s="165" t="s">
        <v>53</v>
      </c>
      <c r="L47" s="165"/>
      <c r="M47" s="165"/>
      <c r="N47" s="165"/>
      <c r="O47" s="165"/>
      <c r="P47" s="43"/>
      <c r="Q47" s="43"/>
      <c r="R47" s="43"/>
      <c r="S47" s="48"/>
      <c r="T47" s="48"/>
      <c r="U47" s="43"/>
      <c r="V47" s="43"/>
      <c r="W47" s="128" t="s">
        <v>55</v>
      </c>
      <c r="X47" s="128"/>
      <c r="Y47" s="128"/>
      <c r="Z47" s="43"/>
      <c r="AA47" s="43"/>
      <c r="AB47" s="43"/>
    </row>
    <row r="48" spans="1:28" s="25" customFormat="1" ht="30.75" customHeight="1">
      <c r="B48" s="165" t="s">
        <v>45</v>
      </c>
      <c r="C48" s="165"/>
      <c r="D48" s="165"/>
      <c r="E48" s="165"/>
      <c r="F48" s="78"/>
      <c r="G48" s="78"/>
      <c r="H48" s="78"/>
      <c r="I48" s="78"/>
      <c r="J48" s="78"/>
      <c r="K48" s="165" t="s">
        <v>54</v>
      </c>
      <c r="L48" s="165"/>
      <c r="M48" s="165"/>
      <c r="N48" s="165"/>
      <c r="O48" s="165"/>
      <c r="P48" s="43"/>
      <c r="Q48" s="43"/>
      <c r="R48" s="43"/>
      <c r="S48" s="48"/>
      <c r="T48" s="48"/>
      <c r="U48" s="43"/>
      <c r="V48" s="43"/>
      <c r="W48" s="128" t="s">
        <v>46</v>
      </c>
      <c r="X48" s="128"/>
      <c r="Y48" s="128"/>
      <c r="Z48" s="43"/>
      <c r="AA48" s="43"/>
      <c r="AB48" s="43"/>
    </row>
    <row r="49" spans="2:28" s="25" customFormat="1" ht="13.5" customHeight="1">
      <c r="B49" s="43"/>
      <c r="C49" s="43"/>
      <c r="D49" s="43"/>
      <c r="E49" s="43"/>
      <c r="F49" s="43"/>
      <c r="G49" s="49"/>
      <c r="H49" s="49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8"/>
      <c r="T49" s="48"/>
      <c r="U49" s="43"/>
      <c r="V49" s="43"/>
      <c r="W49" s="43"/>
      <c r="X49" s="43"/>
      <c r="Y49" s="43"/>
      <c r="Z49" s="43"/>
      <c r="AA49" s="43"/>
      <c r="AB49" s="43"/>
    </row>
    <row r="50" spans="2:28" ht="18.75" customHeight="1"/>
    <row r="51" spans="2:28" ht="18.75" customHeight="1"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57"/>
    </row>
    <row r="52" spans="2:28" ht="18.75" customHeight="1">
      <c r="D52" s="46"/>
      <c r="L52" s="46"/>
      <c r="N52" s="164"/>
      <c r="O52" s="164"/>
    </row>
    <row r="53" spans="2:28" ht="18.75" customHeight="1"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70"/>
      <c r="O53" s="69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  <row r="54" spans="2:28" ht="18.75" customHeight="1">
      <c r="N54" s="70"/>
      <c r="O54" s="69"/>
    </row>
    <row r="55" spans="2:28" ht="21.75" customHeight="1">
      <c r="N55" s="164"/>
      <c r="O55" s="164"/>
    </row>
    <row r="56" spans="2:28" ht="13.5" customHeight="1">
      <c r="N56" s="164"/>
      <c r="O56" s="164"/>
    </row>
    <row r="57" spans="2:28" ht="13.5" customHeight="1"/>
    <row r="58" spans="2:28" ht="13.5" customHeight="1"/>
  </sheetData>
  <mergeCells count="65">
    <mergeCell ref="N52:O52"/>
    <mergeCell ref="N55:O55"/>
    <mergeCell ref="N56:O56"/>
    <mergeCell ref="B44:D44"/>
    <mergeCell ref="L44:N44"/>
    <mergeCell ref="K47:O47"/>
    <mergeCell ref="K48:O48"/>
    <mergeCell ref="B48:E48"/>
    <mergeCell ref="B47:E47"/>
    <mergeCell ref="A18:B18"/>
    <mergeCell ref="A17:B17"/>
    <mergeCell ref="O11:O12"/>
    <mergeCell ref="Q11:R11"/>
    <mergeCell ref="A13:B13"/>
    <mergeCell ref="J11:J12"/>
    <mergeCell ref="K11:K12"/>
    <mergeCell ref="N11:N12"/>
    <mergeCell ref="X11:X12"/>
    <mergeCell ref="P11:P12"/>
    <mergeCell ref="A16:B16"/>
    <mergeCell ref="A9:B12"/>
    <mergeCell ref="E11:F11"/>
    <mergeCell ref="G11:H11"/>
    <mergeCell ref="S11:T11"/>
    <mergeCell ref="D10:O10"/>
    <mergeCell ref="P10:AA10"/>
    <mergeCell ref="Y11:Y12"/>
    <mergeCell ref="Z11:Z12"/>
    <mergeCell ref="AA11:AA12"/>
    <mergeCell ref="A14:B14"/>
    <mergeCell ref="A15:B15"/>
    <mergeCell ref="U11:U12"/>
    <mergeCell ref="V11:V12"/>
    <mergeCell ref="A25:B27"/>
    <mergeCell ref="W11:W12"/>
    <mergeCell ref="A21:U21"/>
    <mergeCell ref="B1:C1"/>
    <mergeCell ref="D9:AA9"/>
    <mergeCell ref="A4:AA4"/>
    <mergeCell ref="A5:AA5"/>
    <mergeCell ref="A6:AA6"/>
    <mergeCell ref="AA1:AB1"/>
    <mergeCell ref="Z3:AA3"/>
    <mergeCell ref="A7:AA7"/>
    <mergeCell ref="C9:C12"/>
    <mergeCell ref="D11:D12"/>
    <mergeCell ref="I11:I12"/>
    <mergeCell ref="L11:L12"/>
    <mergeCell ref="M11:M12"/>
    <mergeCell ref="C25:C27"/>
    <mergeCell ref="A19:B19"/>
    <mergeCell ref="W47:Y47"/>
    <mergeCell ref="W48:Y48"/>
    <mergeCell ref="A31:B31"/>
    <mergeCell ref="D25:D27"/>
    <mergeCell ref="E26:K26"/>
    <mergeCell ref="A34:C34"/>
    <mergeCell ref="A29:B29"/>
    <mergeCell ref="A30:B30"/>
    <mergeCell ref="A28:B28"/>
    <mergeCell ref="E25:R25"/>
    <mergeCell ref="L26:R26"/>
    <mergeCell ref="W44:Y44"/>
    <mergeCell ref="A32:B32"/>
    <mergeCell ref="A33:C33"/>
  </mergeCells>
  <printOptions horizontalCentered="1"/>
  <pageMargins left="0.19685039370078741" right="0.19685039370078741" top="0.19685039370078741" bottom="0.19685039370078741" header="0" footer="0"/>
  <pageSetup paperSize="17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A99"/>
  <sheetViews>
    <sheetView view="pageBreakPreview" zoomScaleNormal="90" zoomScaleSheetLayoutView="100" workbookViewId="0">
      <pane xSplit="2" ySplit="13" topLeftCell="C68" activePane="bottomRight" state="frozen"/>
      <selection pane="topRight" activeCell="C1" sqref="C1"/>
      <selection pane="bottomLeft" activeCell="A18" sqref="A18"/>
      <selection pane="bottomRight" activeCell="B83" sqref="B83"/>
    </sheetView>
  </sheetViews>
  <sheetFormatPr baseColWidth="10" defaultColWidth="11.42578125" defaultRowHeight="13.5"/>
  <cols>
    <col min="1" max="1" width="4.140625" style="3" customWidth="1"/>
    <col min="2" max="2" width="28.85546875" style="3" customWidth="1"/>
    <col min="3" max="28" width="11.7109375" style="3" customWidth="1"/>
    <col min="29" max="29" width="11.7109375" style="34" customWidth="1"/>
    <col min="30" max="42" width="11.7109375" style="3" customWidth="1"/>
    <col min="43" max="46" width="10.7109375" style="3" customWidth="1"/>
    <col min="47" max="47" width="12.140625" style="3" bestFit="1" customWidth="1"/>
    <col min="48" max="16384" width="11.42578125" style="3"/>
  </cols>
  <sheetData>
    <row r="1" spans="1:47">
      <c r="A1" s="182"/>
      <c r="B1" s="182"/>
      <c r="C1" s="182"/>
      <c r="D1" s="182"/>
      <c r="AR1" s="182"/>
      <c r="AS1" s="182"/>
      <c r="AT1" s="182"/>
    </row>
    <row r="4" spans="1:47" s="1" customFormat="1">
      <c r="A4" s="151" t="s">
        <v>32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2"/>
    </row>
    <row r="5" spans="1:47" s="1" customFormat="1">
      <c r="A5" s="151" t="s">
        <v>69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2"/>
    </row>
    <row r="6" spans="1:47" s="1" customFormat="1">
      <c r="A6" s="151" t="s">
        <v>24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2"/>
    </row>
    <row r="7" spans="1:47" s="1" customFormat="1" ht="14.25" thickBot="1">
      <c r="A7" s="151" t="s">
        <v>25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2"/>
    </row>
    <row r="8" spans="1:47" s="1" customFormat="1" ht="24.75" customHeight="1" thickBo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101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126" t="s">
        <v>31</v>
      </c>
      <c r="AT8" s="127"/>
      <c r="AU8" s="2"/>
    </row>
    <row r="9" spans="1:47" s="1" customFormat="1" ht="24.75" customHeight="1" thickBot="1">
      <c r="AC9" s="35"/>
    </row>
    <row r="10" spans="1:47" ht="14.25" thickBot="1">
      <c r="A10" s="181" t="s">
        <v>14</v>
      </c>
      <c r="B10" s="176" t="s">
        <v>15</v>
      </c>
      <c r="C10" s="177" t="s">
        <v>62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9"/>
    </row>
    <row r="11" spans="1:47" ht="12.75" customHeight="1" thickBot="1">
      <c r="A11" s="181"/>
      <c r="B11" s="176"/>
      <c r="C11" s="167" t="s">
        <v>13</v>
      </c>
      <c r="D11" s="168"/>
      <c r="E11" s="168"/>
      <c r="F11" s="169"/>
      <c r="G11" s="173" t="s">
        <v>38</v>
      </c>
      <c r="H11" s="174"/>
      <c r="I11" s="174"/>
      <c r="J11" s="174"/>
      <c r="K11" s="174"/>
      <c r="L11" s="174"/>
      <c r="M11" s="174"/>
      <c r="N11" s="175"/>
      <c r="O11" s="173" t="s">
        <v>39</v>
      </c>
      <c r="P11" s="174"/>
      <c r="Q11" s="174"/>
      <c r="R11" s="174"/>
      <c r="S11" s="174"/>
      <c r="T11" s="174"/>
      <c r="U11" s="174"/>
      <c r="V11" s="175"/>
      <c r="W11" s="167" t="s">
        <v>17</v>
      </c>
      <c r="X11" s="168"/>
      <c r="Y11" s="168"/>
      <c r="Z11" s="169"/>
      <c r="AA11" s="167" t="s">
        <v>12</v>
      </c>
      <c r="AB11" s="168"/>
      <c r="AC11" s="168"/>
      <c r="AD11" s="169"/>
      <c r="AE11" s="167" t="s">
        <v>7</v>
      </c>
      <c r="AF11" s="168"/>
      <c r="AG11" s="168"/>
      <c r="AH11" s="169"/>
      <c r="AI11" s="167" t="s">
        <v>1</v>
      </c>
      <c r="AJ11" s="168"/>
      <c r="AK11" s="168"/>
      <c r="AL11" s="169"/>
      <c r="AM11" s="167" t="s">
        <v>11</v>
      </c>
      <c r="AN11" s="168"/>
      <c r="AO11" s="168"/>
      <c r="AP11" s="169"/>
      <c r="AQ11" s="167" t="s">
        <v>29</v>
      </c>
      <c r="AR11" s="168"/>
      <c r="AS11" s="168"/>
      <c r="AT11" s="169"/>
    </row>
    <row r="12" spans="1:47" ht="12.75" customHeight="1" thickBot="1">
      <c r="A12" s="181"/>
      <c r="B12" s="176"/>
      <c r="C12" s="170"/>
      <c r="D12" s="171"/>
      <c r="E12" s="171"/>
      <c r="F12" s="172"/>
      <c r="G12" s="173" t="s">
        <v>4</v>
      </c>
      <c r="H12" s="174"/>
      <c r="I12" s="174"/>
      <c r="J12" s="175"/>
      <c r="K12" s="173" t="s">
        <v>5</v>
      </c>
      <c r="L12" s="174"/>
      <c r="M12" s="174"/>
      <c r="N12" s="175"/>
      <c r="O12" s="173" t="s">
        <v>4</v>
      </c>
      <c r="P12" s="174"/>
      <c r="Q12" s="174"/>
      <c r="R12" s="175"/>
      <c r="S12" s="173" t="s">
        <v>5</v>
      </c>
      <c r="T12" s="174"/>
      <c r="U12" s="174"/>
      <c r="V12" s="175"/>
      <c r="W12" s="170"/>
      <c r="X12" s="171"/>
      <c r="Y12" s="171"/>
      <c r="Z12" s="172"/>
      <c r="AA12" s="170"/>
      <c r="AB12" s="171"/>
      <c r="AC12" s="171"/>
      <c r="AD12" s="172"/>
      <c r="AE12" s="170"/>
      <c r="AF12" s="171"/>
      <c r="AG12" s="171"/>
      <c r="AH12" s="172"/>
      <c r="AI12" s="170"/>
      <c r="AJ12" s="171"/>
      <c r="AK12" s="171"/>
      <c r="AL12" s="172"/>
      <c r="AM12" s="170"/>
      <c r="AN12" s="171"/>
      <c r="AO12" s="171"/>
      <c r="AP12" s="172"/>
      <c r="AQ12" s="170"/>
      <c r="AR12" s="171"/>
      <c r="AS12" s="171"/>
      <c r="AT12" s="172"/>
    </row>
    <row r="13" spans="1:47" ht="31.5" customHeight="1" thickBot="1">
      <c r="A13" s="181"/>
      <c r="B13" s="176"/>
      <c r="C13" s="8" t="s">
        <v>16</v>
      </c>
      <c r="D13" s="8" t="s">
        <v>70</v>
      </c>
      <c r="E13" s="8" t="s">
        <v>71</v>
      </c>
      <c r="F13" s="8" t="s">
        <v>0</v>
      </c>
      <c r="G13" s="8" t="s">
        <v>16</v>
      </c>
      <c r="H13" s="8" t="s">
        <v>70</v>
      </c>
      <c r="I13" s="8" t="s">
        <v>71</v>
      </c>
      <c r="J13" s="8" t="s">
        <v>0</v>
      </c>
      <c r="K13" s="8" t="s">
        <v>16</v>
      </c>
      <c r="L13" s="8" t="s">
        <v>70</v>
      </c>
      <c r="M13" s="8" t="s">
        <v>71</v>
      </c>
      <c r="N13" s="8" t="s">
        <v>0</v>
      </c>
      <c r="O13" s="8" t="s">
        <v>16</v>
      </c>
      <c r="P13" s="8" t="s">
        <v>70</v>
      </c>
      <c r="Q13" s="8" t="s">
        <v>71</v>
      </c>
      <c r="R13" s="8" t="s">
        <v>0</v>
      </c>
      <c r="S13" s="8" t="s">
        <v>16</v>
      </c>
      <c r="T13" s="8" t="s">
        <v>70</v>
      </c>
      <c r="U13" s="8" t="s">
        <v>71</v>
      </c>
      <c r="V13" s="8" t="s">
        <v>0</v>
      </c>
      <c r="W13" s="8" t="s">
        <v>16</v>
      </c>
      <c r="X13" s="8" t="s">
        <v>70</v>
      </c>
      <c r="Y13" s="8" t="s">
        <v>71</v>
      </c>
      <c r="Z13" s="8" t="s">
        <v>0</v>
      </c>
      <c r="AA13" s="8" t="s">
        <v>16</v>
      </c>
      <c r="AB13" s="8" t="s">
        <v>70</v>
      </c>
      <c r="AC13" s="8" t="s">
        <v>71</v>
      </c>
      <c r="AD13" s="8" t="s">
        <v>0</v>
      </c>
      <c r="AE13" s="8" t="s">
        <v>16</v>
      </c>
      <c r="AF13" s="8" t="s">
        <v>70</v>
      </c>
      <c r="AG13" s="8" t="s">
        <v>71</v>
      </c>
      <c r="AH13" s="8" t="s">
        <v>0</v>
      </c>
      <c r="AI13" s="8" t="s">
        <v>16</v>
      </c>
      <c r="AJ13" s="8" t="s">
        <v>70</v>
      </c>
      <c r="AK13" s="8" t="s">
        <v>71</v>
      </c>
      <c r="AL13" s="8" t="s">
        <v>0</v>
      </c>
      <c r="AM13" s="8" t="s">
        <v>16</v>
      </c>
      <c r="AN13" s="8" t="s">
        <v>70</v>
      </c>
      <c r="AO13" s="8" t="s">
        <v>71</v>
      </c>
      <c r="AP13" s="8" t="s">
        <v>0</v>
      </c>
      <c r="AQ13" s="8" t="s">
        <v>16</v>
      </c>
      <c r="AR13" s="8" t="s">
        <v>70</v>
      </c>
      <c r="AS13" s="8" t="s">
        <v>71</v>
      </c>
      <c r="AT13" s="8" t="s">
        <v>0</v>
      </c>
    </row>
    <row r="14" spans="1:47" s="88" customFormat="1" ht="49.5" customHeight="1">
      <c r="A14" s="86">
        <v>1</v>
      </c>
      <c r="B14" s="87" t="s">
        <v>56</v>
      </c>
      <c r="C14" s="82">
        <v>150151</v>
      </c>
      <c r="D14" s="82">
        <v>3916</v>
      </c>
      <c r="E14" s="82">
        <v>3916</v>
      </c>
      <c r="F14" s="83">
        <f>SUM(C14:E14)</f>
        <v>157983</v>
      </c>
      <c r="G14" s="82">
        <v>103747.39</v>
      </c>
      <c r="H14" s="82">
        <v>19186.75</v>
      </c>
      <c r="I14" s="82">
        <v>19186.75</v>
      </c>
      <c r="J14" s="83">
        <f>SUM(G14:I14)</f>
        <v>142120.89000000001</v>
      </c>
      <c r="K14" s="82">
        <v>103747.39</v>
      </c>
      <c r="L14" s="82">
        <v>19186.75</v>
      </c>
      <c r="M14" s="82">
        <v>19186.75</v>
      </c>
      <c r="N14" s="83">
        <f>SUM(K14:M14)</f>
        <v>142120.89000000001</v>
      </c>
      <c r="O14" s="82">
        <v>36777.53</v>
      </c>
      <c r="P14" s="82">
        <v>11830.07</v>
      </c>
      <c r="Q14" s="82">
        <v>11829.720000000001</v>
      </c>
      <c r="R14" s="83">
        <f>SUM(O14:Q14)</f>
        <v>60437.32</v>
      </c>
      <c r="S14" s="82">
        <f t="shared" ref="S14:U15" si="0">O14</f>
        <v>36777.53</v>
      </c>
      <c r="T14" s="82">
        <f t="shared" si="0"/>
        <v>11830.07</v>
      </c>
      <c r="U14" s="82">
        <f t="shared" si="0"/>
        <v>11829.720000000001</v>
      </c>
      <c r="V14" s="83">
        <f>SUM(S14:U14)</f>
        <v>60437.32</v>
      </c>
      <c r="W14" s="84">
        <f>C14+G14-K14+O14-S14</f>
        <v>150151</v>
      </c>
      <c r="X14" s="84">
        <f>D14+H14-L14+P14-T14</f>
        <v>3916</v>
      </c>
      <c r="Y14" s="84">
        <f>E14+I14-M14+Q14-U14</f>
        <v>3916</v>
      </c>
      <c r="Z14" s="83">
        <f>SUM(W14:Y14)</f>
        <v>157983</v>
      </c>
      <c r="AA14" s="82">
        <v>132173.35</v>
      </c>
      <c r="AB14" s="82">
        <v>20506.8</v>
      </c>
      <c r="AC14" s="82">
        <v>20506.43</v>
      </c>
      <c r="AD14" s="83">
        <f>SUM(AA14:AC14)</f>
        <v>173186.58</v>
      </c>
      <c r="AE14" s="82">
        <v>132173.35</v>
      </c>
      <c r="AF14" s="82">
        <v>20506.8</v>
      </c>
      <c r="AG14" s="82">
        <v>20506.43</v>
      </c>
      <c r="AH14" s="83">
        <f>SUM(AE14:AG14)</f>
        <v>173186.58</v>
      </c>
      <c r="AI14" s="82">
        <v>132173.35</v>
      </c>
      <c r="AJ14" s="82">
        <v>20506.8</v>
      </c>
      <c r="AK14" s="82">
        <v>20506.43</v>
      </c>
      <c r="AL14" s="83">
        <f>SUM(AI14:AK14)</f>
        <v>173186.58</v>
      </c>
      <c r="AM14" s="82">
        <v>132173.35</v>
      </c>
      <c r="AN14" s="82">
        <v>20506.8</v>
      </c>
      <c r="AO14" s="82">
        <v>20506.43</v>
      </c>
      <c r="AP14" s="83">
        <f>SUM(AM14:AO14)</f>
        <v>173186.58</v>
      </c>
      <c r="AQ14" s="84">
        <f>(W14-AI14)</f>
        <v>17977.649999999994</v>
      </c>
      <c r="AR14" s="84">
        <f>(X14-AJ14)</f>
        <v>-16590.8</v>
      </c>
      <c r="AS14" s="84">
        <f>(Y14-AK14)</f>
        <v>-16590.43</v>
      </c>
      <c r="AT14" s="83">
        <f>SUM(AQ14:AS14)</f>
        <v>-15203.580000000005</v>
      </c>
    </row>
    <row r="15" spans="1:47" s="88" customFormat="1" ht="49.5" customHeight="1">
      <c r="A15" s="86">
        <v>2</v>
      </c>
      <c r="B15" s="87" t="s">
        <v>57</v>
      </c>
      <c r="C15" s="82">
        <v>520196</v>
      </c>
      <c r="D15" s="82">
        <f>532700+8790</f>
        <v>541490</v>
      </c>
      <c r="E15" s="82">
        <v>541490</v>
      </c>
      <c r="F15" s="83">
        <f>SUM(C15:E15)</f>
        <v>1603176</v>
      </c>
      <c r="G15" s="82">
        <v>849094.05</v>
      </c>
      <c r="H15" s="82">
        <f>728273.74-532700</f>
        <v>195573.74</v>
      </c>
      <c r="I15" s="82">
        <f>728273.62-532700</f>
        <v>195573.62</v>
      </c>
      <c r="J15" s="83">
        <f>SUM(G15:I15)</f>
        <v>1240241.4100000001</v>
      </c>
      <c r="K15" s="82">
        <f>1462275.63+2024421.81</f>
        <v>3486697.44</v>
      </c>
      <c r="L15" s="82">
        <v>195573.74</v>
      </c>
      <c r="M15" s="82">
        <v>195573.62</v>
      </c>
      <c r="N15" s="83">
        <f>SUM(K15:M15)</f>
        <v>3877844.8</v>
      </c>
      <c r="O15" s="82">
        <v>1708843.45</v>
      </c>
      <c r="P15" s="82">
        <v>126617.54000000001</v>
      </c>
      <c r="Q15" s="82">
        <v>127067.46000000002</v>
      </c>
      <c r="R15" s="83">
        <f>SUM(O15:Q15)</f>
        <v>1962528.45</v>
      </c>
      <c r="S15" s="82">
        <f t="shared" si="0"/>
        <v>1708843.45</v>
      </c>
      <c r="T15" s="82">
        <f t="shared" si="0"/>
        <v>126617.54000000001</v>
      </c>
      <c r="U15" s="82">
        <f t="shared" si="0"/>
        <v>127067.46000000002</v>
      </c>
      <c r="V15" s="83">
        <f>SUM(S15:U15)</f>
        <v>1962528.45</v>
      </c>
      <c r="W15" s="84">
        <f>C15+G15-K15+O15-S15</f>
        <v>-2117407.3899999997</v>
      </c>
      <c r="X15" s="84">
        <f t="shared" ref="X15:X18" si="1">D15+H15-L15+P15-T15</f>
        <v>541490</v>
      </c>
      <c r="Y15" s="84">
        <f t="shared" ref="Y15:Y18" si="2">E15+I15-M15+Q15-U15</f>
        <v>541490</v>
      </c>
      <c r="Z15" s="83">
        <f t="shared" ref="Z15:Z18" si="3">SUM(W15:Y15)</f>
        <v>-1034427.3899999997</v>
      </c>
      <c r="AA15" s="82">
        <v>1621402.38</v>
      </c>
      <c r="AB15" s="82">
        <v>234382.19</v>
      </c>
      <c r="AC15" s="82">
        <v>234382.55</v>
      </c>
      <c r="AD15" s="83">
        <f>SUM(AA15:AC15)</f>
        <v>2090167.1199999999</v>
      </c>
      <c r="AE15" s="82">
        <v>1621402.38</v>
      </c>
      <c r="AF15" s="82">
        <v>234382.19</v>
      </c>
      <c r="AG15" s="82">
        <v>234382.55</v>
      </c>
      <c r="AH15" s="83">
        <f>SUM(AE15:AG15)</f>
        <v>2090167.1199999999</v>
      </c>
      <c r="AI15" s="82">
        <v>1621402.38</v>
      </c>
      <c r="AJ15" s="82">
        <v>234382.19</v>
      </c>
      <c r="AK15" s="82">
        <v>234382.55</v>
      </c>
      <c r="AL15" s="83">
        <f>SUM(AI15:AK15)</f>
        <v>2090167.1199999999</v>
      </c>
      <c r="AM15" s="82">
        <v>1459995.35</v>
      </c>
      <c r="AN15" s="82">
        <v>230577.34</v>
      </c>
      <c r="AO15" s="82">
        <v>230577.71</v>
      </c>
      <c r="AP15" s="83">
        <f>SUM(AM15:AO15)</f>
        <v>1921150.4000000001</v>
      </c>
      <c r="AQ15" s="84">
        <f t="shared" ref="AQ15:AQ17" si="4">(W15-AI15)</f>
        <v>-3738809.7699999996</v>
      </c>
      <c r="AR15" s="84">
        <f t="shared" ref="AR15:AR17" si="5">(X15-AJ15)</f>
        <v>307107.81</v>
      </c>
      <c r="AS15" s="84">
        <f t="shared" ref="AS15:AS18" si="6">(Y15-AK15)</f>
        <v>307107.45</v>
      </c>
      <c r="AT15" s="83">
        <f>SUM(AQ15:AS15)</f>
        <v>-3124594.5099999993</v>
      </c>
    </row>
    <row r="16" spans="1:47" s="88" customFormat="1" ht="49.5" customHeight="1">
      <c r="A16" s="86">
        <v>3</v>
      </c>
      <c r="B16" s="87" t="s">
        <v>58</v>
      </c>
      <c r="C16" s="82">
        <v>0</v>
      </c>
      <c r="D16" s="120">
        <v>0</v>
      </c>
      <c r="E16" s="120">
        <v>0</v>
      </c>
      <c r="F16" s="95">
        <f>SUM(C16:E16)</f>
        <v>0</v>
      </c>
      <c r="G16" s="82">
        <v>0</v>
      </c>
      <c r="H16" s="82">
        <v>6873.24</v>
      </c>
      <c r="I16" s="82">
        <v>6873.26</v>
      </c>
      <c r="J16" s="83">
        <f t="shared" ref="J16:J18" si="7">SUM(G16:I16)</f>
        <v>13746.5</v>
      </c>
      <c r="K16" s="82">
        <v>0</v>
      </c>
      <c r="L16" s="82">
        <v>6873.24</v>
      </c>
      <c r="M16" s="82">
        <v>6873.26</v>
      </c>
      <c r="N16" s="83">
        <f t="shared" ref="N16:N18" si="8">SUM(K16:M16)</f>
        <v>13746.5</v>
      </c>
      <c r="O16" s="82">
        <v>0</v>
      </c>
      <c r="P16" s="82">
        <v>6873.25</v>
      </c>
      <c r="Q16" s="82">
        <v>6873.25</v>
      </c>
      <c r="R16" s="83">
        <f t="shared" ref="R16:R17" si="9">SUM(O16:Q16)</f>
        <v>13746.5</v>
      </c>
      <c r="S16" s="82">
        <f t="shared" ref="S16:U17" si="10">O16</f>
        <v>0</v>
      </c>
      <c r="T16" s="82">
        <f t="shared" si="10"/>
        <v>6873.25</v>
      </c>
      <c r="U16" s="82">
        <f t="shared" si="10"/>
        <v>6873.25</v>
      </c>
      <c r="V16" s="83">
        <f t="shared" ref="V16:V18" si="11">SUM(S16:U16)</f>
        <v>13746.5</v>
      </c>
      <c r="W16" s="84">
        <f t="shared" ref="W16:W18" si="12">C16+G16-K16+O16-S16</f>
        <v>0</v>
      </c>
      <c r="X16" s="84">
        <f t="shared" si="1"/>
        <v>0</v>
      </c>
      <c r="Y16" s="84">
        <f t="shared" si="2"/>
        <v>0</v>
      </c>
      <c r="Z16" s="83">
        <f t="shared" si="3"/>
        <v>0</v>
      </c>
      <c r="AA16" s="82">
        <v>0</v>
      </c>
      <c r="AB16" s="82">
        <v>6873.24</v>
      </c>
      <c r="AC16" s="82">
        <v>6873.26</v>
      </c>
      <c r="AD16" s="83">
        <f>SUM(AA16:AC16)</f>
        <v>13746.5</v>
      </c>
      <c r="AE16" s="82">
        <v>0</v>
      </c>
      <c r="AF16" s="82">
        <v>6873.24</v>
      </c>
      <c r="AG16" s="82">
        <v>6873.26</v>
      </c>
      <c r="AH16" s="83">
        <f>SUM(AE16:AG16)</f>
        <v>13746.5</v>
      </c>
      <c r="AI16" s="82">
        <v>0</v>
      </c>
      <c r="AJ16" s="82">
        <v>6873.24</v>
      </c>
      <c r="AK16" s="82">
        <v>6873.26</v>
      </c>
      <c r="AL16" s="83">
        <f>SUM(AI16:AK16)</f>
        <v>13746.5</v>
      </c>
      <c r="AM16" s="84">
        <v>0</v>
      </c>
      <c r="AN16" s="82">
        <v>6373.24</v>
      </c>
      <c r="AO16" s="82">
        <v>6373.26</v>
      </c>
      <c r="AP16" s="83">
        <f>SUM(AM16:AO16)</f>
        <v>12746.5</v>
      </c>
      <c r="AQ16" s="84">
        <f t="shared" si="4"/>
        <v>0</v>
      </c>
      <c r="AR16" s="84">
        <f t="shared" si="5"/>
        <v>-6873.24</v>
      </c>
      <c r="AS16" s="84">
        <f t="shared" si="6"/>
        <v>-6873.26</v>
      </c>
      <c r="AT16" s="83">
        <f>SUM(AQ16:AS16)</f>
        <v>-13746.5</v>
      </c>
    </row>
    <row r="17" spans="1:48" s="88" customFormat="1" ht="49.5" customHeight="1">
      <c r="A17" s="86">
        <v>4</v>
      </c>
      <c r="B17" s="87" t="s">
        <v>59</v>
      </c>
      <c r="C17" s="82">
        <v>0</v>
      </c>
      <c r="D17" s="82">
        <v>0</v>
      </c>
      <c r="E17" s="82">
        <v>0</v>
      </c>
      <c r="F17" s="83">
        <f>SUM(C17:E17)</f>
        <v>0</v>
      </c>
      <c r="G17" s="82">
        <v>0</v>
      </c>
      <c r="H17" s="82">
        <v>1096.18</v>
      </c>
      <c r="I17" s="82">
        <v>1096.18</v>
      </c>
      <c r="J17" s="83">
        <f t="shared" si="7"/>
        <v>2192.36</v>
      </c>
      <c r="K17" s="82">
        <v>0</v>
      </c>
      <c r="L17" s="82">
        <v>1096.18</v>
      </c>
      <c r="M17" s="82">
        <v>1096.18</v>
      </c>
      <c r="N17" s="83">
        <f t="shared" si="8"/>
        <v>2192.36</v>
      </c>
      <c r="O17" s="82">
        <v>0</v>
      </c>
      <c r="P17" s="82">
        <v>54309.5</v>
      </c>
      <c r="Q17" s="82">
        <v>54309.5</v>
      </c>
      <c r="R17" s="83">
        <f t="shared" si="9"/>
        <v>108619</v>
      </c>
      <c r="S17" s="82">
        <f t="shared" si="10"/>
        <v>0</v>
      </c>
      <c r="T17" s="82">
        <f t="shared" si="10"/>
        <v>54309.5</v>
      </c>
      <c r="U17" s="82">
        <f t="shared" si="10"/>
        <v>54309.5</v>
      </c>
      <c r="V17" s="83">
        <f t="shared" si="11"/>
        <v>108619</v>
      </c>
      <c r="W17" s="84">
        <f t="shared" si="12"/>
        <v>0</v>
      </c>
      <c r="X17" s="84">
        <f t="shared" si="1"/>
        <v>0</v>
      </c>
      <c r="Y17" s="84">
        <f t="shared" si="2"/>
        <v>0</v>
      </c>
      <c r="Z17" s="83">
        <f t="shared" si="3"/>
        <v>0</v>
      </c>
      <c r="AA17" s="82">
        <v>0</v>
      </c>
      <c r="AB17" s="82">
        <v>54309.5</v>
      </c>
      <c r="AC17" s="82">
        <v>54309.5</v>
      </c>
      <c r="AD17" s="83">
        <f>SUM(AA17:AC17)</f>
        <v>108619</v>
      </c>
      <c r="AE17" s="82">
        <v>0</v>
      </c>
      <c r="AF17" s="82">
        <v>54309.5</v>
      </c>
      <c r="AG17" s="82">
        <v>54309.5</v>
      </c>
      <c r="AH17" s="83">
        <f>SUM(AE17:AG17)</f>
        <v>108619</v>
      </c>
      <c r="AI17" s="82">
        <v>0</v>
      </c>
      <c r="AJ17" s="82">
        <v>54309.5</v>
      </c>
      <c r="AK17" s="82">
        <v>54309.5</v>
      </c>
      <c r="AL17" s="83">
        <f>SUM(AI17:AK17)</f>
        <v>108619</v>
      </c>
      <c r="AM17" s="84">
        <v>0</v>
      </c>
      <c r="AN17" s="82">
        <v>53891.199999999997</v>
      </c>
      <c r="AO17" s="82">
        <v>53891.199999999997</v>
      </c>
      <c r="AP17" s="83">
        <f>SUM(AM17:AO17)</f>
        <v>107782.39999999999</v>
      </c>
      <c r="AQ17" s="84">
        <f t="shared" si="4"/>
        <v>0</v>
      </c>
      <c r="AR17" s="84">
        <f t="shared" si="5"/>
        <v>-54309.5</v>
      </c>
      <c r="AS17" s="84">
        <f t="shared" si="6"/>
        <v>-54309.5</v>
      </c>
      <c r="AT17" s="83">
        <f>SUM(AQ17:AS17)</f>
        <v>-108619</v>
      </c>
    </row>
    <row r="18" spans="1:48" s="88" customFormat="1" ht="49.5" customHeight="1">
      <c r="A18" s="86">
        <v>5</v>
      </c>
      <c r="B18" s="87" t="s">
        <v>60</v>
      </c>
      <c r="C18" s="82">
        <v>3377412.72</v>
      </c>
      <c r="D18" s="82">
        <f>2677614.51+7841299.54</f>
        <v>10518914.050000001</v>
      </c>
      <c r="E18" s="82">
        <f>1183581+7841299.54</f>
        <v>9024880.5399999991</v>
      </c>
      <c r="F18" s="83">
        <f>SUM(C18:E18)</f>
        <v>22921207.310000002</v>
      </c>
      <c r="G18" s="82">
        <v>1415328.99</v>
      </c>
      <c r="H18" s="82">
        <f>3518214.52-2677614.51+69600</f>
        <v>910200.01000000024</v>
      </c>
      <c r="I18" s="82">
        <f>1805644.45-1183581</f>
        <v>622063.44999999995</v>
      </c>
      <c r="J18" s="83">
        <f t="shared" si="7"/>
        <v>2947592.45</v>
      </c>
      <c r="K18" s="82">
        <v>802147.41</v>
      </c>
      <c r="L18" s="82">
        <f>840600.01+69600</f>
        <v>910200.01</v>
      </c>
      <c r="M18" s="82">
        <v>622063.44999999995</v>
      </c>
      <c r="N18" s="83">
        <f t="shared" si="8"/>
        <v>2334410.87</v>
      </c>
      <c r="O18" s="82">
        <v>1779548.81</v>
      </c>
      <c r="P18" s="82">
        <v>617390.98</v>
      </c>
      <c r="Q18" s="82">
        <v>625531.52999999991</v>
      </c>
      <c r="R18" s="83">
        <f>SUM(O18:Q18)</f>
        <v>3022471.32</v>
      </c>
      <c r="S18" s="82">
        <f>O18</f>
        <v>1779548.81</v>
      </c>
      <c r="T18" s="82">
        <f>P18</f>
        <v>617390.98</v>
      </c>
      <c r="U18" s="82">
        <f t="shared" ref="U18" si="13">Q18</f>
        <v>625531.52999999991</v>
      </c>
      <c r="V18" s="83">
        <f t="shared" si="11"/>
        <v>3022471.32</v>
      </c>
      <c r="W18" s="84">
        <f t="shared" si="12"/>
        <v>3990594.2999999993</v>
      </c>
      <c r="X18" s="84">
        <f t="shared" si="1"/>
        <v>10518914.050000001</v>
      </c>
      <c r="Y18" s="84">
        <f t="shared" si="2"/>
        <v>9024880.5399999991</v>
      </c>
      <c r="Z18" s="83">
        <f t="shared" si="3"/>
        <v>23534388.890000001</v>
      </c>
      <c r="AA18" s="82">
        <v>5614094.9900000002</v>
      </c>
      <c r="AB18" s="82">
        <v>10854703.02</v>
      </c>
      <c r="AC18" s="82">
        <v>9369074.5899999999</v>
      </c>
      <c r="AD18" s="83">
        <f>SUM(AA18:AC18)</f>
        <v>25837872.600000001</v>
      </c>
      <c r="AE18" s="82">
        <v>5614094.9900000002</v>
      </c>
      <c r="AF18" s="82">
        <v>10854703.02</v>
      </c>
      <c r="AG18" s="82">
        <v>9369074.5899999999</v>
      </c>
      <c r="AH18" s="83">
        <f>SUM(AE18:AG18)</f>
        <v>25837872.600000001</v>
      </c>
      <c r="AI18" s="82">
        <v>5614094.9900000002</v>
      </c>
      <c r="AJ18" s="82">
        <v>10854703.02</v>
      </c>
      <c r="AK18" s="82">
        <v>9369074.5899999999</v>
      </c>
      <c r="AL18" s="83">
        <f>SUM(AI18:AK18)</f>
        <v>25837872.600000001</v>
      </c>
      <c r="AM18" s="82">
        <v>4973029.9800000004</v>
      </c>
      <c r="AN18" s="82">
        <v>10308722.939999999</v>
      </c>
      <c r="AO18" s="82">
        <v>9150092.4199999999</v>
      </c>
      <c r="AP18" s="83">
        <f>SUM(AM18:AO18)</f>
        <v>24431845.34</v>
      </c>
      <c r="AQ18" s="84">
        <f>(W18-AI18)</f>
        <v>-1623500.6900000009</v>
      </c>
      <c r="AR18" s="84">
        <f>(X18-AJ18)</f>
        <v>-335788.96999999881</v>
      </c>
      <c r="AS18" s="84">
        <f t="shared" si="6"/>
        <v>-344194.05000000075</v>
      </c>
      <c r="AT18" s="83">
        <f>SUM(AQ18:AS18)</f>
        <v>-2303483.7100000004</v>
      </c>
    </row>
    <row r="19" spans="1:48" s="88" customFormat="1" ht="6" customHeight="1" thickBot="1">
      <c r="A19" s="116"/>
      <c r="B19" s="117"/>
      <c r="C19" s="97"/>
      <c r="D19" s="97"/>
      <c r="E19" s="97"/>
      <c r="F19" s="83"/>
      <c r="G19" s="97"/>
      <c r="H19" s="97"/>
      <c r="I19" s="97"/>
      <c r="J19" s="83"/>
      <c r="K19" s="97"/>
      <c r="L19" s="97"/>
      <c r="M19" s="97"/>
      <c r="N19" s="115"/>
      <c r="O19" s="97"/>
      <c r="P19" s="97"/>
      <c r="Q19" s="97"/>
      <c r="R19" s="115"/>
      <c r="S19" s="97"/>
      <c r="T19" s="97"/>
      <c r="U19" s="97"/>
      <c r="V19" s="83"/>
      <c r="W19" s="84"/>
      <c r="X19" s="84"/>
      <c r="Y19" s="84"/>
      <c r="Z19" s="83"/>
      <c r="AA19" s="97"/>
      <c r="AB19" s="97"/>
      <c r="AC19" s="97"/>
      <c r="AD19" s="83"/>
      <c r="AE19" s="97"/>
      <c r="AF19" s="97"/>
      <c r="AG19" s="97"/>
      <c r="AH19" s="83"/>
      <c r="AI19" s="97"/>
      <c r="AJ19" s="97"/>
      <c r="AK19" s="97"/>
      <c r="AL19" s="83"/>
      <c r="AM19" s="97"/>
      <c r="AN19" s="97"/>
      <c r="AO19" s="97"/>
      <c r="AP19" s="83"/>
      <c r="AQ19" s="84"/>
      <c r="AR19" s="84"/>
      <c r="AS19" s="84"/>
      <c r="AT19" s="84"/>
    </row>
    <row r="20" spans="1:48" s="88" customFormat="1" ht="14.25" thickBot="1">
      <c r="A20" s="89"/>
      <c r="B20" s="90" t="s">
        <v>0</v>
      </c>
      <c r="C20" s="98">
        <f>SUM(C14:C18)</f>
        <v>4047759.72</v>
      </c>
      <c r="D20" s="98">
        <f t="shared" ref="D20:AT20" si="14">SUM(D14:D18)</f>
        <v>11064320.050000001</v>
      </c>
      <c r="E20" s="98">
        <f t="shared" si="14"/>
        <v>9570286.5399999991</v>
      </c>
      <c r="F20" s="98">
        <f t="shared" si="14"/>
        <v>24682366.310000002</v>
      </c>
      <c r="G20" s="98">
        <f>SUM(G14:G18)</f>
        <v>2368170.4300000002</v>
      </c>
      <c r="H20" s="98">
        <f t="shared" ref="H20:V20" si="15">SUM(H14:H18)</f>
        <v>1132929.9200000002</v>
      </c>
      <c r="I20" s="98">
        <f t="shared" si="15"/>
        <v>844793.26</v>
      </c>
      <c r="J20" s="98">
        <f t="shared" si="15"/>
        <v>4345893.6100000003</v>
      </c>
      <c r="K20" s="98">
        <f t="shared" si="15"/>
        <v>4392592.24</v>
      </c>
      <c r="L20" s="98">
        <f t="shared" si="15"/>
        <v>1132929.92</v>
      </c>
      <c r="M20" s="98">
        <f t="shared" si="15"/>
        <v>844793.26</v>
      </c>
      <c r="N20" s="102">
        <f t="shared" si="15"/>
        <v>6370315.4199999999</v>
      </c>
      <c r="O20" s="98">
        <f t="shared" si="15"/>
        <v>3525169.79</v>
      </c>
      <c r="P20" s="98">
        <f t="shared" si="15"/>
        <v>817021.34</v>
      </c>
      <c r="Q20" s="98">
        <f t="shared" si="15"/>
        <v>825611.46</v>
      </c>
      <c r="R20" s="102">
        <f>SUM(R14:R18)</f>
        <v>5167802.59</v>
      </c>
      <c r="S20" s="98">
        <f t="shared" si="15"/>
        <v>3525169.79</v>
      </c>
      <c r="T20" s="98">
        <f t="shared" si="15"/>
        <v>817021.34</v>
      </c>
      <c r="U20" s="98">
        <f t="shared" si="15"/>
        <v>825611.46</v>
      </c>
      <c r="V20" s="102">
        <f t="shared" si="15"/>
        <v>5167802.59</v>
      </c>
      <c r="W20" s="98">
        <f>SUM(W14:W18)</f>
        <v>2023337.9099999997</v>
      </c>
      <c r="X20" s="98">
        <f>SUM(X14:X18)</f>
        <v>11064320.050000001</v>
      </c>
      <c r="Y20" s="98">
        <f>SUM(Y14:Y18)</f>
        <v>9570286.5399999991</v>
      </c>
      <c r="Z20" s="98">
        <f t="shared" si="14"/>
        <v>22657944.5</v>
      </c>
      <c r="AA20" s="98">
        <f t="shared" si="14"/>
        <v>7367670.7200000007</v>
      </c>
      <c r="AB20" s="98">
        <f t="shared" si="14"/>
        <v>11170774.75</v>
      </c>
      <c r="AC20" s="98">
        <f t="shared" si="14"/>
        <v>9685146.3300000001</v>
      </c>
      <c r="AD20" s="98">
        <f t="shared" si="14"/>
        <v>28223591.800000001</v>
      </c>
      <c r="AE20" s="98">
        <f t="shared" si="14"/>
        <v>7367670.7200000007</v>
      </c>
      <c r="AF20" s="98">
        <f t="shared" si="14"/>
        <v>11170774.75</v>
      </c>
      <c r="AG20" s="98">
        <f t="shared" si="14"/>
        <v>9685146.3300000001</v>
      </c>
      <c r="AH20" s="98">
        <f t="shared" si="14"/>
        <v>28223591.800000001</v>
      </c>
      <c r="AI20" s="98">
        <f t="shared" si="14"/>
        <v>7367670.7200000007</v>
      </c>
      <c r="AJ20" s="98">
        <f t="shared" si="14"/>
        <v>11170774.75</v>
      </c>
      <c r="AK20" s="98">
        <f t="shared" si="14"/>
        <v>9685146.3300000001</v>
      </c>
      <c r="AL20" s="98">
        <f t="shared" si="14"/>
        <v>28223591.800000001</v>
      </c>
      <c r="AM20" s="98">
        <f t="shared" si="14"/>
        <v>6565198.6800000006</v>
      </c>
      <c r="AN20" s="98">
        <f t="shared" si="14"/>
        <v>10620071.52</v>
      </c>
      <c r="AO20" s="98">
        <f t="shared" si="14"/>
        <v>9461441.0199999996</v>
      </c>
      <c r="AP20" s="98">
        <f t="shared" si="14"/>
        <v>26646711.219999999</v>
      </c>
      <c r="AQ20" s="98">
        <f>SUM(AQ14:AQ18)</f>
        <v>-5344332.8100000005</v>
      </c>
      <c r="AR20" s="98">
        <f t="shared" si="14"/>
        <v>-106454.69999999879</v>
      </c>
      <c r="AS20" s="98">
        <f t="shared" si="14"/>
        <v>-114859.79000000074</v>
      </c>
      <c r="AT20" s="98">
        <f t="shared" si="14"/>
        <v>-5565647.2999999998</v>
      </c>
      <c r="AV20" s="118"/>
    </row>
    <row r="22" spans="1:48">
      <c r="G22" s="63"/>
      <c r="H22" s="63"/>
      <c r="I22" s="63"/>
      <c r="J22" s="63"/>
      <c r="K22" s="63"/>
      <c r="L22" s="63"/>
      <c r="M22" s="63"/>
      <c r="O22" s="63"/>
      <c r="P22" s="63"/>
      <c r="Q22" s="63"/>
    </row>
    <row r="23" spans="1:48" ht="14.25" thickBot="1"/>
    <row r="24" spans="1:48" ht="14.25" thickBot="1">
      <c r="A24" s="181" t="s">
        <v>14</v>
      </c>
      <c r="B24" s="176" t="s">
        <v>15</v>
      </c>
      <c r="C24" s="177" t="s">
        <v>62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9"/>
    </row>
    <row r="25" spans="1:48" ht="12" customHeight="1" thickBot="1">
      <c r="A25" s="181"/>
      <c r="B25" s="176"/>
      <c r="C25" s="167" t="s">
        <v>13</v>
      </c>
      <c r="D25" s="168"/>
      <c r="E25" s="168"/>
      <c r="F25" s="169"/>
      <c r="G25" s="167" t="s">
        <v>4</v>
      </c>
      <c r="H25" s="168"/>
      <c r="I25" s="168"/>
      <c r="J25" s="169"/>
      <c r="K25" s="167" t="s">
        <v>5</v>
      </c>
      <c r="L25" s="168"/>
      <c r="M25" s="168"/>
      <c r="N25" s="169"/>
      <c r="O25" s="167" t="s">
        <v>4</v>
      </c>
      <c r="P25" s="168"/>
      <c r="Q25" s="168"/>
      <c r="R25" s="169"/>
      <c r="S25" s="167" t="s">
        <v>5</v>
      </c>
      <c r="T25" s="168"/>
      <c r="U25" s="168"/>
      <c r="V25" s="169"/>
      <c r="W25" s="167" t="s">
        <v>17</v>
      </c>
      <c r="X25" s="168"/>
      <c r="Y25" s="168"/>
      <c r="Z25" s="169"/>
      <c r="AA25" s="167" t="s">
        <v>12</v>
      </c>
      <c r="AB25" s="168"/>
      <c r="AC25" s="168"/>
      <c r="AD25" s="169"/>
      <c r="AE25" s="167" t="s">
        <v>7</v>
      </c>
      <c r="AF25" s="168"/>
      <c r="AG25" s="168"/>
      <c r="AH25" s="169"/>
      <c r="AI25" s="167" t="s">
        <v>1</v>
      </c>
      <c r="AJ25" s="168"/>
      <c r="AK25" s="168"/>
      <c r="AL25" s="169"/>
      <c r="AM25" s="167" t="s">
        <v>11</v>
      </c>
      <c r="AN25" s="168"/>
      <c r="AO25" s="168"/>
      <c r="AP25" s="169"/>
      <c r="AQ25" s="167" t="s">
        <v>29</v>
      </c>
      <c r="AR25" s="168"/>
      <c r="AS25" s="168"/>
      <c r="AT25" s="169"/>
    </row>
    <row r="26" spans="1:48" ht="12" customHeight="1" thickBot="1">
      <c r="A26" s="181"/>
      <c r="B26" s="176"/>
      <c r="C26" s="170"/>
      <c r="D26" s="171"/>
      <c r="E26" s="171"/>
      <c r="F26" s="172"/>
      <c r="G26" s="170"/>
      <c r="H26" s="171"/>
      <c r="I26" s="171"/>
      <c r="J26" s="172"/>
      <c r="K26" s="170"/>
      <c r="L26" s="171"/>
      <c r="M26" s="171"/>
      <c r="N26" s="172"/>
      <c r="O26" s="170"/>
      <c r="P26" s="171"/>
      <c r="Q26" s="171"/>
      <c r="R26" s="172"/>
      <c r="S26" s="170"/>
      <c r="T26" s="171"/>
      <c r="U26" s="171"/>
      <c r="V26" s="172"/>
      <c r="W26" s="170"/>
      <c r="X26" s="171"/>
      <c r="Y26" s="171"/>
      <c r="Z26" s="172"/>
      <c r="AA26" s="170"/>
      <c r="AB26" s="171"/>
      <c r="AC26" s="171"/>
      <c r="AD26" s="172"/>
      <c r="AE26" s="170"/>
      <c r="AF26" s="171"/>
      <c r="AG26" s="171"/>
      <c r="AH26" s="172"/>
      <c r="AI26" s="170"/>
      <c r="AJ26" s="171"/>
      <c r="AK26" s="171"/>
      <c r="AL26" s="172"/>
      <c r="AM26" s="170"/>
      <c r="AN26" s="171"/>
      <c r="AO26" s="171"/>
      <c r="AP26" s="172"/>
      <c r="AQ26" s="170"/>
      <c r="AR26" s="171"/>
      <c r="AS26" s="171"/>
      <c r="AT26" s="172"/>
    </row>
    <row r="27" spans="1:48" ht="29.25" customHeight="1" thickBot="1">
      <c r="A27" s="181"/>
      <c r="B27" s="176"/>
      <c r="C27" s="8" t="s">
        <v>16</v>
      </c>
      <c r="D27" s="8" t="s">
        <v>70</v>
      </c>
      <c r="E27" s="8" t="s">
        <v>71</v>
      </c>
      <c r="F27" s="8" t="s">
        <v>0</v>
      </c>
      <c r="G27" s="8" t="s">
        <v>16</v>
      </c>
      <c r="H27" s="8" t="s">
        <v>70</v>
      </c>
      <c r="I27" s="8" t="s">
        <v>71</v>
      </c>
      <c r="J27" s="8" t="s">
        <v>0</v>
      </c>
      <c r="K27" s="8" t="s">
        <v>16</v>
      </c>
      <c r="L27" s="8" t="s">
        <v>70</v>
      </c>
      <c r="M27" s="8" t="s">
        <v>71</v>
      </c>
      <c r="N27" s="8" t="s">
        <v>0</v>
      </c>
      <c r="O27" s="8" t="s">
        <v>16</v>
      </c>
      <c r="P27" s="8" t="s">
        <v>70</v>
      </c>
      <c r="Q27" s="8" t="s">
        <v>71</v>
      </c>
      <c r="R27" s="8" t="s">
        <v>0</v>
      </c>
      <c r="S27" s="8" t="s">
        <v>16</v>
      </c>
      <c r="T27" s="8" t="s">
        <v>70</v>
      </c>
      <c r="U27" s="8" t="s">
        <v>71</v>
      </c>
      <c r="V27" s="8" t="s">
        <v>0</v>
      </c>
      <c r="W27" s="8" t="s">
        <v>16</v>
      </c>
      <c r="X27" s="8" t="s">
        <v>70</v>
      </c>
      <c r="Y27" s="8" t="s">
        <v>71</v>
      </c>
      <c r="Z27" s="8" t="s">
        <v>0</v>
      </c>
      <c r="AA27" s="8" t="s">
        <v>16</v>
      </c>
      <c r="AB27" s="8" t="s">
        <v>70</v>
      </c>
      <c r="AC27" s="8" t="s">
        <v>71</v>
      </c>
      <c r="AD27" s="8" t="s">
        <v>0</v>
      </c>
      <c r="AE27" s="8" t="s">
        <v>16</v>
      </c>
      <c r="AF27" s="8" t="s">
        <v>70</v>
      </c>
      <c r="AG27" s="8" t="s">
        <v>71</v>
      </c>
      <c r="AH27" s="8" t="s">
        <v>0</v>
      </c>
      <c r="AI27" s="8" t="s">
        <v>16</v>
      </c>
      <c r="AJ27" s="8" t="s">
        <v>70</v>
      </c>
      <c r="AK27" s="8" t="s">
        <v>71</v>
      </c>
      <c r="AL27" s="8" t="s">
        <v>0</v>
      </c>
      <c r="AM27" s="8" t="s">
        <v>16</v>
      </c>
      <c r="AN27" s="8" t="s">
        <v>70</v>
      </c>
      <c r="AO27" s="8" t="s">
        <v>71</v>
      </c>
      <c r="AP27" s="8" t="s">
        <v>0</v>
      </c>
      <c r="AQ27" s="8" t="s">
        <v>16</v>
      </c>
      <c r="AR27" s="8" t="s">
        <v>70</v>
      </c>
      <c r="AS27" s="8" t="s">
        <v>71</v>
      </c>
      <c r="AT27" s="8" t="s">
        <v>0</v>
      </c>
    </row>
    <row r="28" spans="1:48" s="88" customFormat="1" ht="26.25" customHeight="1">
      <c r="A28" s="86">
        <v>1</v>
      </c>
      <c r="B28" s="87" t="s">
        <v>40</v>
      </c>
      <c r="C28" s="84">
        <v>0</v>
      </c>
      <c r="D28" s="84">
        <v>0</v>
      </c>
      <c r="E28" s="84">
        <v>0</v>
      </c>
      <c r="F28" s="83">
        <v>0</v>
      </c>
      <c r="G28" s="84">
        <v>0</v>
      </c>
      <c r="H28" s="84">
        <v>0</v>
      </c>
      <c r="I28" s="84">
        <v>0</v>
      </c>
      <c r="J28" s="83">
        <f t="shared" ref="J28:J38" si="16">SUM(G28:I28)</f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f>D28+H28</f>
        <v>0</v>
      </c>
      <c r="Y28" s="84">
        <v>0</v>
      </c>
      <c r="Z28" s="83">
        <f t="shared" ref="Z28:Z34" si="17">SUM(W28:Y28)</f>
        <v>0</v>
      </c>
      <c r="AA28" s="84">
        <v>0</v>
      </c>
      <c r="AB28" s="84">
        <v>0</v>
      </c>
      <c r="AC28" s="84">
        <v>0</v>
      </c>
      <c r="AD28" s="83">
        <f t="shared" ref="AD28:AD34" si="18">SUM(AA28:AC28)</f>
        <v>0</v>
      </c>
      <c r="AE28" s="84">
        <v>0</v>
      </c>
      <c r="AF28" s="84">
        <v>0</v>
      </c>
      <c r="AG28" s="84">
        <v>0</v>
      </c>
      <c r="AH28" s="83">
        <f t="shared" ref="AH28:AH34" si="19">SUM(AE28:AG28)</f>
        <v>0</v>
      </c>
      <c r="AI28" s="84">
        <v>0</v>
      </c>
      <c r="AJ28" s="84">
        <v>0</v>
      </c>
      <c r="AK28" s="84">
        <v>0</v>
      </c>
      <c r="AL28" s="83">
        <f t="shared" ref="AL28:AL34" si="20">SUM(AI28:AK28)</f>
        <v>0</v>
      </c>
      <c r="AM28" s="84">
        <v>0</v>
      </c>
      <c r="AN28" s="84">
        <v>0</v>
      </c>
      <c r="AO28" s="84">
        <v>0</v>
      </c>
      <c r="AP28" s="83">
        <f t="shared" ref="AP28:AP34" si="21">SUM(AM28:AO28)</f>
        <v>0</v>
      </c>
      <c r="AQ28" s="84">
        <f>W28-AM28</f>
        <v>0</v>
      </c>
      <c r="AR28" s="84">
        <f t="shared" ref="AR28:AR34" si="22">X28-AN28</f>
        <v>0</v>
      </c>
      <c r="AS28" s="84">
        <f t="shared" ref="AS28:AS34" si="23">Y28-AO28</f>
        <v>0</v>
      </c>
      <c r="AT28" s="84">
        <f>SUM(AQ28:AS28)</f>
        <v>0</v>
      </c>
    </row>
    <row r="29" spans="1:48" s="88" customFormat="1" ht="26.25" customHeight="1">
      <c r="A29" s="86">
        <v>2</v>
      </c>
      <c r="B29" s="87" t="s">
        <v>47</v>
      </c>
      <c r="C29" s="84">
        <v>0</v>
      </c>
      <c r="D29" s="84">
        <v>0</v>
      </c>
      <c r="E29" s="84">
        <v>0</v>
      </c>
      <c r="F29" s="83">
        <v>0</v>
      </c>
      <c r="G29" s="84">
        <v>0</v>
      </c>
      <c r="H29" s="84">
        <v>0</v>
      </c>
      <c r="I29" s="84">
        <v>0</v>
      </c>
      <c r="J29" s="83">
        <f t="shared" si="16"/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f t="shared" ref="X29:X34" si="24">D29+H29</f>
        <v>0</v>
      </c>
      <c r="Y29" s="84">
        <f t="shared" ref="Y29:Y34" si="25">(I29)</f>
        <v>0</v>
      </c>
      <c r="Z29" s="83">
        <f t="shared" si="17"/>
        <v>0</v>
      </c>
      <c r="AA29" s="84">
        <v>0</v>
      </c>
      <c r="AB29" s="84">
        <v>0</v>
      </c>
      <c r="AC29" s="84">
        <v>0</v>
      </c>
      <c r="AD29" s="83">
        <f t="shared" si="18"/>
        <v>0</v>
      </c>
      <c r="AE29" s="84">
        <v>0</v>
      </c>
      <c r="AF29" s="84">
        <v>0</v>
      </c>
      <c r="AG29" s="84">
        <v>0</v>
      </c>
      <c r="AH29" s="83">
        <f t="shared" si="19"/>
        <v>0</v>
      </c>
      <c r="AI29" s="84">
        <v>0</v>
      </c>
      <c r="AJ29" s="84">
        <v>0</v>
      </c>
      <c r="AK29" s="84">
        <v>0</v>
      </c>
      <c r="AL29" s="83">
        <f t="shared" si="20"/>
        <v>0</v>
      </c>
      <c r="AM29" s="84">
        <v>0</v>
      </c>
      <c r="AN29" s="84">
        <v>0</v>
      </c>
      <c r="AO29" s="84">
        <v>0</v>
      </c>
      <c r="AP29" s="83">
        <f t="shared" si="21"/>
        <v>0</v>
      </c>
      <c r="AQ29" s="84">
        <f t="shared" ref="AQ29:AQ34" si="26">W29-AM29</f>
        <v>0</v>
      </c>
      <c r="AR29" s="84">
        <f t="shared" si="22"/>
        <v>0</v>
      </c>
      <c r="AS29" s="84">
        <f t="shared" si="23"/>
        <v>0</v>
      </c>
      <c r="AT29" s="84">
        <f t="shared" ref="AT29:AT34" si="27">SUM(AQ29:AS29)</f>
        <v>0</v>
      </c>
    </row>
    <row r="30" spans="1:48" s="88" customFormat="1" ht="26.25" customHeight="1">
      <c r="A30" s="86">
        <v>3</v>
      </c>
      <c r="B30" s="87" t="s">
        <v>48</v>
      </c>
      <c r="C30" s="84">
        <v>0</v>
      </c>
      <c r="D30" s="84">
        <v>0</v>
      </c>
      <c r="E30" s="84">
        <v>0</v>
      </c>
      <c r="F30" s="83">
        <v>0</v>
      </c>
      <c r="G30" s="84">
        <v>0</v>
      </c>
      <c r="H30" s="84">
        <v>0</v>
      </c>
      <c r="I30" s="84">
        <v>26000</v>
      </c>
      <c r="J30" s="83">
        <f t="shared" ref="J30" si="28">SUM(G30:I30)</f>
        <v>26000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f>D30+H30</f>
        <v>0</v>
      </c>
      <c r="Y30" s="84">
        <f t="shared" ref="Y30" si="29">(I30)</f>
        <v>26000</v>
      </c>
      <c r="Z30" s="83">
        <f t="shared" ref="Z30" si="30">SUM(W30:Y30)</f>
        <v>26000</v>
      </c>
      <c r="AA30" s="84">
        <v>0</v>
      </c>
      <c r="AB30" s="84">
        <v>0</v>
      </c>
      <c r="AC30" s="84">
        <v>14000</v>
      </c>
      <c r="AD30" s="83">
        <f t="shared" ref="AD30" si="31">SUM(AA30:AC30)</f>
        <v>14000</v>
      </c>
      <c r="AE30" s="84">
        <v>0</v>
      </c>
      <c r="AF30" s="84">
        <v>0</v>
      </c>
      <c r="AG30" s="84">
        <v>14000</v>
      </c>
      <c r="AH30" s="83">
        <f t="shared" ref="AH30" si="32">SUM(AE30:AG30)</f>
        <v>14000</v>
      </c>
      <c r="AI30" s="84">
        <v>0</v>
      </c>
      <c r="AJ30" s="84">
        <v>0</v>
      </c>
      <c r="AK30" s="84">
        <v>14000</v>
      </c>
      <c r="AL30" s="83">
        <f t="shared" ref="AL30" si="33">SUM(AI30:AK30)</f>
        <v>14000</v>
      </c>
      <c r="AM30" s="84">
        <v>0</v>
      </c>
      <c r="AN30" s="84">
        <v>0</v>
      </c>
      <c r="AO30" s="84">
        <v>14000</v>
      </c>
      <c r="AP30" s="83">
        <f t="shared" si="21"/>
        <v>14000</v>
      </c>
      <c r="AQ30" s="84">
        <f t="shared" si="26"/>
        <v>0</v>
      </c>
      <c r="AR30" s="84">
        <f t="shared" si="22"/>
        <v>0</v>
      </c>
      <c r="AS30" s="84">
        <f t="shared" si="23"/>
        <v>12000</v>
      </c>
      <c r="AT30" s="84">
        <f t="shared" si="27"/>
        <v>12000</v>
      </c>
    </row>
    <row r="31" spans="1:48" s="88" customFormat="1" ht="26.25" customHeight="1">
      <c r="A31" s="86">
        <v>4</v>
      </c>
      <c r="B31" s="87" t="s">
        <v>49</v>
      </c>
      <c r="C31" s="84">
        <v>0</v>
      </c>
      <c r="D31" s="84">
        <v>0</v>
      </c>
      <c r="E31" s="84">
        <v>0</v>
      </c>
      <c r="F31" s="83">
        <v>0</v>
      </c>
      <c r="G31" s="84">
        <v>0</v>
      </c>
      <c r="H31" s="84">
        <v>0</v>
      </c>
      <c r="I31" s="84">
        <v>0</v>
      </c>
      <c r="J31" s="83">
        <f t="shared" si="16"/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f t="shared" si="24"/>
        <v>0</v>
      </c>
      <c r="Y31" s="84">
        <f t="shared" si="25"/>
        <v>0</v>
      </c>
      <c r="Z31" s="83">
        <f t="shared" si="17"/>
        <v>0</v>
      </c>
      <c r="AA31" s="84">
        <v>0</v>
      </c>
      <c r="AB31" s="84">
        <v>0</v>
      </c>
      <c r="AC31" s="84">
        <v>0</v>
      </c>
      <c r="AD31" s="83">
        <f t="shared" si="18"/>
        <v>0</v>
      </c>
      <c r="AE31" s="84">
        <v>0</v>
      </c>
      <c r="AF31" s="84">
        <v>0</v>
      </c>
      <c r="AG31" s="84">
        <v>0</v>
      </c>
      <c r="AH31" s="83">
        <f t="shared" si="19"/>
        <v>0</v>
      </c>
      <c r="AI31" s="84">
        <v>0</v>
      </c>
      <c r="AJ31" s="84">
        <v>0</v>
      </c>
      <c r="AK31" s="84">
        <v>0</v>
      </c>
      <c r="AL31" s="83">
        <f t="shared" si="20"/>
        <v>0</v>
      </c>
      <c r="AM31" s="84">
        <v>0</v>
      </c>
      <c r="AN31" s="84">
        <v>0</v>
      </c>
      <c r="AO31" s="84">
        <v>0</v>
      </c>
      <c r="AP31" s="83">
        <f t="shared" si="21"/>
        <v>0</v>
      </c>
      <c r="AQ31" s="84">
        <f t="shared" si="26"/>
        <v>0</v>
      </c>
      <c r="AR31" s="84">
        <f t="shared" si="22"/>
        <v>0</v>
      </c>
      <c r="AS31" s="84">
        <f t="shared" si="23"/>
        <v>0</v>
      </c>
      <c r="AT31" s="84">
        <f t="shared" si="27"/>
        <v>0</v>
      </c>
    </row>
    <row r="32" spans="1:48" s="88" customFormat="1" ht="26.25" customHeight="1">
      <c r="A32" s="86">
        <v>5</v>
      </c>
      <c r="B32" s="87" t="s">
        <v>50</v>
      </c>
      <c r="C32" s="84">
        <v>0</v>
      </c>
      <c r="D32" s="84">
        <v>0</v>
      </c>
      <c r="E32" s="84">
        <v>0</v>
      </c>
      <c r="F32" s="83">
        <v>0</v>
      </c>
      <c r="G32" s="84">
        <v>0</v>
      </c>
      <c r="H32" s="84">
        <v>0</v>
      </c>
      <c r="I32" s="84">
        <v>0</v>
      </c>
      <c r="J32" s="83">
        <f t="shared" si="16"/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f t="shared" si="24"/>
        <v>0</v>
      </c>
      <c r="Y32" s="84">
        <f t="shared" si="25"/>
        <v>0</v>
      </c>
      <c r="Z32" s="83">
        <f t="shared" si="17"/>
        <v>0</v>
      </c>
      <c r="AA32" s="84">
        <v>0</v>
      </c>
      <c r="AB32" s="84">
        <v>0</v>
      </c>
      <c r="AC32" s="84">
        <v>0</v>
      </c>
      <c r="AD32" s="83">
        <f t="shared" si="18"/>
        <v>0</v>
      </c>
      <c r="AE32" s="84">
        <v>0</v>
      </c>
      <c r="AF32" s="84">
        <v>0</v>
      </c>
      <c r="AG32" s="84">
        <v>0</v>
      </c>
      <c r="AH32" s="83">
        <f t="shared" si="19"/>
        <v>0</v>
      </c>
      <c r="AI32" s="84">
        <v>0</v>
      </c>
      <c r="AJ32" s="84">
        <v>0</v>
      </c>
      <c r="AK32" s="84">
        <v>0</v>
      </c>
      <c r="AL32" s="83">
        <f t="shared" si="20"/>
        <v>0</v>
      </c>
      <c r="AM32" s="84">
        <v>0</v>
      </c>
      <c r="AN32" s="84">
        <v>0</v>
      </c>
      <c r="AO32" s="84">
        <v>0</v>
      </c>
      <c r="AP32" s="83">
        <f t="shared" si="21"/>
        <v>0</v>
      </c>
      <c r="AQ32" s="84">
        <f t="shared" si="26"/>
        <v>0</v>
      </c>
      <c r="AR32" s="84">
        <f t="shared" si="22"/>
        <v>0</v>
      </c>
      <c r="AS32" s="84">
        <f t="shared" si="23"/>
        <v>0</v>
      </c>
      <c r="AT32" s="84">
        <f t="shared" si="27"/>
        <v>0</v>
      </c>
    </row>
    <row r="33" spans="1:46" s="88" customFormat="1" ht="26.25" customHeight="1">
      <c r="A33" s="86">
        <v>6</v>
      </c>
      <c r="B33" s="87" t="s">
        <v>51</v>
      </c>
      <c r="C33" s="84">
        <v>0</v>
      </c>
      <c r="D33" s="84">
        <v>0</v>
      </c>
      <c r="E33" s="84">
        <v>0</v>
      </c>
      <c r="F33" s="83">
        <v>0</v>
      </c>
      <c r="G33" s="84">
        <v>0</v>
      </c>
      <c r="H33" s="84">
        <v>0</v>
      </c>
      <c r="I33" s="84">
        <v>0</v>
      </c>
      <c r="J33" s="83">
        <f t="shared" si="16"/>
        <v>0</v>
      </c>
      <c r="K33" s="84">
        <v>0</v>
      </c>
      <c r="L33" s="84">
        <v>0</v>
      </c>
      <c r="M33" s="84">
        <v>0</v>
      </c>
      <c r="N33" s="84">
        <f>SUM(K33:M33)</f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f t="shared" ref="X33" si="34">D33+H33</f>
        <v>0</v>
      </c>
      <c r="Y33" s="84">
        <f t="shared" ref="Y33" si="35">(I33)</f>
        <v>0</v>
      </c>
      <c r="Z33" s="83">
        <f t="shared" ref="Z33" si="36">SUM(W33:Y33)</f>
        <v>0</v>
      </c>
      <c r="AA33" s="84">
        <v>0</v>
      </c>
      <c r="AB33" s="84">
        <v>0</v>
      </c>
      <c r="AC33" s="84">
        <v>33038.21</v>
      </c>
      <c r="AD33" s="83">
        <f t="shared" ref="AD33" si="37">SUM(AA33:AC33)</f>
        <v>33038.21</v>
      </c>
      <c r="AE33" s="84">
        <v>0</v>
      </c>
      <c r="AF33" s="84">
        <v>0</v>
      </c>
      <c r="AG33" s="84">
        <v>33038.21</v>
      </c>
      <c r="AH33" s="83">
        <f t="shared" ref="AH33" si="38">SUM(AE33:AG33)</f>
        <v>33038.21</v>
      </c>
      <c r="AI33" s="84">
        <v>0</v>
      </c>
      <c r="AJ33" s="84">
        <v>0</v>
      </c>
      <c r="AK33" s="84">
        <v>33038.21</v>
      </c>
      <c r="AL33" s="83">
        <f t="shared" ref="AL33" si="39">SUM(AI33:AK33)</f>
        <v>33038.21</v>
      </c>
      <c r="AM33" s="84">
        <v>0</v>
      </c>
      <c r="AN33" s="84">
        <v>0</v>
      </c>
      <c r="AO33" s="84">
        <v>33038.21</v>
      </c>
      <c r="AP33" s="83">
        <f t="shared" ref="AP33" si="40">SUM(AM33:AO33)</f>
        <v>33038.21</v>
      </c>
      <c r="AQ33" s="84">
        <f t="shared" ref="AQ33" si="41">W33-AM33</f>
        <v>0</v>
      </c>
      <c r="AR33" s="84">
        <f t="shared" ref="AR33" si="42">X33-AN33</f>
        <v>0</v>
      </c>
      <c r="AS33" s="84">
        <f t="shared" ref="AS33" si="43">Y33-AO33</f>
        <v>-33038.21</v>
      </c>
      <c r="AT33" s="84">
        <f t="shared" ref="AT33" si="44">SUM(AQ33:AS33)</f>
        <v>-33038.21</v>
      </c>
    </row>
    <row r="34" spans="1:46" s="88" customFormat="1" ht="26.25" customHeight="1">
      <c r="A34" s="86">
        <v>7</v>
      </c>
      <c r="B34" s="87" t="s">
        <v>52</v>
      </c>
      <c r="C34" s="84">
        <v>0</v>
      </c>
      <c r="D34" s="84">
        <v>0</v>
      </c>
      <c r="E34" s="84">
        <v>0</v>
      </c>
      <c r="F34" s="83">
        <v>0</v>
      </c>
      <c r="G34" s="84">
        <v>0</v>
      </c>
      <c r="H34" s="84">
        <v>0</v>
      </c>
      <c r="I34" s="84">
        <v>0</v>
      </c>
      <c r="J34" s="83">
        <f t="shared" si="16"/>
        <v>0</v>
      </c>
      <c r="K34" s="84">
        <v>0</v>
      </c>
      <c r="L34" s="84">
        <v>0</v>
      </c>
      <c r="M34" s="84">
        <v>0</v>
      </c>
      <c r="N34" s="84">
        <f t="shared" ref="N34:N38" si="45">SUM(K34:M34)</f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f t="shared" si="24"/>
        <v>0</v>
      </c>
      <c r="Y34" s="84">
        <f t="shared" si="25"/>
        <v>0</v>
      </c>
      <c r="Z34" s="83">
        <f t="shared" si="17"/>
        <v>0</v>
      </c>
      <c r="AA34" s="84">
        <v>0</v>
      </c>
      <c r="AB34" s="84">
        <v>0</v>
      </c>
      <c r="AC34" s="84">
        <v>0</v>
      </c>
      <c r="AD34" s="83">
        <f t="shared" si="18"/>
        <v>0</v>
      </c>
      <c r="AE34" s="84">
        <v>0</v>
      </c>
      <c r="AF34" s="84">
        <v>0</v>
      </c>
      <c r="AG34" s="84">
        <v>0</v>
      </c>
      <c r="AH34" s="83">
        <f t="shared" si="19"/>
        <v>0</v>
      </c>
      <c r="AI34" s="84">
        <v>0</v>
      </c>
      <c r="AJ34" s="84">
        <v>0</v>
      </c>
      <c r="AK34" s="84">
        <v>0</v>
      </c>
      <c r="AL34" s="83">
        <f t="shared" si="20"/>
        <v>0</v>
      </c>
      <c r="AM34" s="84">
        <v>0</v>
      </c>
      <c r="AN34" s="84">
        <v>0</v>
      </c>
      <c r="AO34" s="84">
        <v>0</v>
      </c>
      <c r="AP34" s="83">
        <f t="shared" si="21"/>
        <v>0</v>
      </c>
      <c r="AQ34" s="84">
        <f t="shared" si="26"/>
        <v>0</v>
      </c>
      <c r="AR34" s="84">
        <f t="shared" si="22"/>
        <v>0</v>
      </c>
      <c r="AS34" s="84">
        <f t="shared" si="23"/>
        <v>0</v>
      </c>
      <c r="AT34" s="84">
        <f t="shared" si="27"/>
        <v>0</v>
      </c>
    </row>
    <row r="35" spans="1:46" s="88" customFormat="1" ht="26.25" customHeight="1">
      <c r="A35" s="86">
        <v>8</v>
      </c>
      <c r="B35" s="87" t="s">
        <v>61</v>
      </c>
      <c r="C35" s="84">
        <v>0</v>
      </c>
      <c r="D35" s="84">
        <v>0</v>
      </c>
      <c r="E35" s="84">
        <v>0</v>
      </c>
      <c r="F35" s="83">
        <v>0</v>
      </c>
      <c r="G35" s="84">
        <v>0</v>
      </c>
      <c r="H35" s="84">
        <v>0</v>
      </c>
      <c r="I35" s="84">
        <v>0</v>
      </c>
      <c r="J35" s="83">
        <f t="shared" si="16"/>
        <v>0</v>
      </c>
      <c r="K35" s="84">
        <v>0</v>
      </c>
      <c r="L35" s="84">
        <v>0</v>
      </c>
      <c r="M35" s="84">
        <v>0</v>
      </c>
      <c r="N35" s="84">
        <f t="shared" si="45"/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f>J35</f>
        <v>0</v>
      </c>
      <c r="X35" s="84">
        <f>D35+H35</f>
        <v>0</v>
      </c>
      <c r="Y35" s="84">
        <f>(I35)</f>
        <v>0</v>
      </c>
      <c r="Z35" s="83">
        <f>SUM(W35:Y35)</f>
        <v>0</v>
      </c>
      <c r="AA35" s="84">
        <v>0</v>
      </c>
      <c r="AB35" s="84">
        <v>0</v>
      </c>
      <c r="AC35" s="84">
        <v>0</v>
      </c>
      <c r="AD35" s="83">
        <f>SUM(AA35:AC35)</f>
        <v>0</v>
      </c>
      <c r="AE35" s="84">
        <v>0</v>
      </c>
      <c r="AF35" s="84">
        <v>0</v>
      </c>
      <c r="AG35" s="84">
        <v>0</v>
      </c>
      <c r="AH35" s="83">
        <f>SUM(AE35:AG35)</f>
        <v>0</v>
      </c>
      <c r="AI35" s="84">
        <v>0</v>
      </c>
      <c r="AJ35" s="84">
        <v>0</v>
      </c>
      <c r="AK35" s="84">
        <v>0</v>
      </c>
      <c r="AL35" s="83">
        <f>SUM(AI35:AK35)</f>
        <v>0</v>
      </c>
      <c r="AM35" s="84">
        <v>0</v>
      </c>
      <c r="AN35" s="84">
        <v>0</v>
      </c>
      <c r="AO35" s="84">
        <v>0</v>
      </c>
      <c r="AP35" s="83">
        <f>SUM(AM35:AO35)</f>
        <v>0</v>
      </c>
      <c r="AQ35" s="84">
        <f t="shared" ref="AQ35" si="46">W35-AM35</f>
        <v>0</v>
      </c>
      <c r="AR35" s="84">
        <f t="shared" ref="AR35" si="47">X35-AN35</f>
        <v>0</v>
      </c>
      <c r="AS35" s="84">
        <f>Y35-AO35</f>
        <v>0</v>
      </c>
      <c r="AT35" s="84">
        <f t="shared" ref="AT35" si="48">SUM(AQ35:AS35)</f>
        <v>0</v>
      </c>
    </row>
    <row r="36" spans="1:46" s="88" customFormat="1" ht="26.25" customHeight="1">
      <c r="A36" s="86">
        <v>9</v>
      </c>
      <c r="B36" s="87" t="s">
        <v>64</v>
      </c>
      <c r="C36" s="84">
        <v>0</v>
      </c>
      <c r="D36" s="84">
        <v>0</v>
      </c>
      <c r="E36" s="84">
        <v>0</v>
      </c>
      <c r="F36" s="83">
        <v>0</v>
      </c>
      <c r="G36" s="84">
        <v>0</v>
      </c>
      <c r="H36" s="84">
        <v>0</v>
      </c>
      <c r="I36" s="84">
        <v>1120160</v>
      </c>
      <c r="J36" s="83">
        <f t="shared" si="16"/>
        <v>1120160</v>
      </c>
      <c r="K36" s="84">
        <v>0</v>
      </c>
      <c r="L36" s="84">
        <v>0</v>
      </c>
      <c r="M36" s="84">
        <v>0</v>
      </c>
      <c r="N36" s="84">
        <f t="shared" si="45"/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f t="shared" ref="X36:X41" si="49">D36+H36</f>
        <v>0</v>
      </c>
      <c r="Y36" s="84">
        <f t="shared" ref="Y36:Y41" si="50">(I36)</f>
        <v>1120160</v>
      </c>
      <c r="Z36" s="83">
        <f t="shared" ref="Z36:Z41" si="51">SUM(W36:Y36)</f>
        <v>1120160</v>
      </c>
      <c r="AA36" s="84">
        <v>0</v>
      </c>
      <c r="AB36" s="84">
        <v>0</v>
      </c>
      <c r="AC36" s="84">
        <v>0</v>
      </c>
      <c r="AD36" s="83">
        <f t="shared" ref="AD36:AD41" si="52">SUM(AA36:AC36)</f>
        <v>0</v>
      </c>
      <c r="AE36" s="84">
        <v>0</v>
      </c>
      <c r="AF36" s="84">
        <v>0</v>
      </c>
      <c r="AG36" s="84">
        <v>0</v>
      </c>
      <c r="AH36" s="83">
        <f t="shared" ref="AH36:AH41" si="53">SUM(AE36:AG36)</f>
        <v>0</v>
      </c>
      <c r="AI36" s="84">
        <v>0</v>
      </c>
      <c r="AJ36" s="84">
        <v>0</v>
      </c>
      <c r="AK36" s="84">
        <v>0</v>
      </c>
      <c r="AL36" s="83">
        <f t="shared" ref="AL36:AL41" si="54">SUM(AI36:AK36)</f>
        <v>0</v>
      </c>
      <c r="AM36" s="84">
        <v>0</v>
      </c>
      <c r="AN36" s="84">
        <v>0</v>
      </c>
      <c r="AO36" s="84">
        <v>0</v>
      </c>
      <c r="AP36" s="83">
        <f t="shared" ref="AP36:AP41" si="55">SUM(AM36:AO36)</f>
        <v>0</v>
      </c>
      <c r="AQ36" s="84">
        <f>W36-AM36</f>
        <v>0</v>
      </c>
      <c r="AR36" s="84">
        <f t="shared" ref="AR36:AR41" si="56">X36-AN36</f>
        <v>0</v>
      </c>
      <c r="AS36" s="84">
        <f t="shared" ref="AS36" si="57">Y36-AO36</f>
        <v>1120160</v>
      </c>
      <c r="AT36" s="84">
        <f t="shared" ref="AT36:AT37" si="58">SUM(AQ36:AS36)</f>
        <v>1120160</v>
      </c>
    </row>
    <row r="37" spans="1:46" s="88" customFormat="1" ht="26.25" customHeight="1">
      <c r="A37" s="86">
        <v>10</v>
      </c>
      <c r="B37" s="87" t="s">
        <v>65</v>
      </c>
      <c r="C37" s="84">
        <v>0</v>
      </c>
      <c r="D37" s="84">
        <v>0</v>
      </c>
      <c r="E37" s="84">
        <v>0</v>
      </c>
      <c r="F37" s="83">
        <v>0</v>
      </c>
      <c r="G37" s="84">
        <v>0</v>
      </c>
      <c r="H37" s="84">
        <v>0</v>
      </c>
      <c r="I37" s="84">
        <v>1741513</v>
      </c>
      <c r="J37" s="83">
        <f t="shared" si="16"/>
        <v>1741513</v>
      </c>
      <c r="K37" s="84">
        <v>0</v>
      </c>
      <c r="L37" s="84">
        <v>0</v>
      </c>
      <c r="M37" s="84">
        <v>0</v>
      </c>
      <c r="N37" s="84">
        <f t="shared" si="45"/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f t="shared" si="49"/>
        <v>0</v>
      </c>
      <c r="Y37" s="84">
        <f t="shared" si="50"/>
        <v>1741513</v>
      </c>
      <c r="Z37" s="83">
        <f t="shared" si="51"/>
        <v>1741513</v>
      </c>
      <c r="AA37" s="84">
        <v>0</v>
      </c>
      <c r="AB37" s="84">
        <v>0</v>
      </c>
      <c r="AC37" s="84">
        <v>0</v>
      </c>
      <c r="AD37" s="83">
        <f t="shared" si="52"/>
        <v>0</v>
      </c>
      <c r="AE37" s="84">
        <v>0</v>
      </c>
      <c r="AF37" s="84">
        <v>0</v>
      </c>
      <c r="AG37" s="84">
        <v>0</v>
      </c>
      <c r="AH37" s="83">
        <f t="shared" si="53"/>
        <v>0</v>
      </c>
      <c r="AI37" s="84">
        <v>0</v>
      </c>
      <c r="AJ37" s="84">
        <v>0</v>
      </c>
      <c r="AK37" s="84">
        <v>0</v>
      </c>
      <c r="AL37" s="83">
        <f t="shared" si="54"/>
        <v>0</v>
      </c>
      <c r="AM37" s="84">
        <v>0</v>
      </c>
      <c r="AN37" s="84">
        <v>0</v>
      </c>
      <c r="AO37" s="84">
        <v>0</v>
      </c>
      <c r="AP37" s="83">
        <f t="shared" si="55"/>
        <v>0</v>
      </c>
      <c r="AQ37" s="84">
        <f t="shared" ref="AQ37:AQ40" si="59">W37-AM37</f>
        <v>0</v>
      </c>
      <c r="AR37" s="84">
        <f t="shared" si="56"/>
        <v>0</v>
      </c>
      <c r="AS37" s="84">
        <f>Y37-AO37</f>
        <v>1741513</v>
      </c>
      <c r="AT37" s="84">
        <f t="shared" si="58"/>
        <v>1741513</v>
      </c>
    </row>
    <row r="38" spans="1:46" s="88" customFormat="1" ht="26.25" customHeight="1">
      <c r="A38" s="86">
        <v>11</v>
      </c>
      <c r="B38" s="87" t="s">
        <v>66</v>
      </c>
      <c r="C38" s="84">
        <v>0</v>
      </c>
      <c r="D38" s="84">
        <v>0</v>
      </c>
      <c r="E38" s="84">
        <v>0</v>
      </c>
      <c r="F38" s="83">
        <v>0</v>
      </c>
      <c r="G38" s="84">
        <v>0</v>
      </c>
      <c r="H38" s="84">
        <v>0</v>
      </c>
      <c r="I38" s="84">
        <v>13198.18</v>
      </c>
      <c r="J38" s="83">
        <f t="shared" si="16"/>
        <v>13198.18</v>
      </c>
      <c r="K38" s="84">
        <v>0</v>
      </c>
      <c r="L38" s="84">
        <v>0</v>
      </c>
      <c r="M38" s="84">
        <v>0</v>
      </c>
      <c r="N38" s="84">
        <f t="shared" si="45"/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f t="shared" si="49"/>
        <v>0</v>
      </c>
      <c r="Y38" s="84">
        <f t="shared" si="50"/>
        <v>13198.18</v>
      </c>
      <c r="Z38" s="83">
        <f t="shared" si="51"/>
        <v>13198.18</v>
      </c>
      <c r="AA38" s="84">
        <v>0</v>
      </c>
      <c r="AB38" s="84">
        <v>0</v>
      </c>
      <c r="AC38" s="84">
        <v>13198.18</v>
      </c>
      <c r="AD38" s="83">
        <f t="shared" si="52"/>
        <v>13198.18</v>
      </c>
      <c r="AE38" s="84">
        <v>0</v>
      </c>
      <c r="AF38" s="84">
        <v>0</v>
      </c>
      <c r="AG38" s="84">
        <v>13198.18</v>
      </c>
      <c r="AH38" s="83">
        <f t="shared" si="53"/>
        <v>13198.18</v>
      </c>
      <c r="AI38" s="84">
        <v>0</v>
      </c>
      <c r="AJ38" s="84">
        <v>0</v>
      </c>
      <c r="AK38" s="84">
        <v>13198.18</v>
      </c>
      <c r="AL38" s="83">
        <f t="shared" si="54"/>
        <v>13198.18</v>
      </c>
      <c r="AM38" s="84">
        <v>0</v>
      </c>
      <c r="AN38" s="84">
        <v>0</v>
      </c>
      <c r="AO38" s="84">
        <v>13198.18</v>
      </c>
      <c r="AP38" s="83">
        <f t="shared" si="55"/>
        <v>13198.18</v>
      </c>
      <c r="AQ38" s="84">
        <f t="shared" si="59"/>
        <v>0</v>
      </c>
      <c r="AR38" s="84">
        <f t="shared" si="56"/>
        <v>0</v>
      </c>
      <c r="AS38" s="84">
        <f>Y38-AO38</f>
        <v>0</v>
      </c>
      <c r="AT38" s="84">
        <f t="shared" ref="AT38" si="60">SUM(AQ38:AS38)</f>
        <v>0</v>
      </c>
    </row>
    <row r="39" spans="1:46" s="88" customFormat="1" ht="26.25" customHeight="1">
      <c r="A39" s="86">
        <v>12</v>
      </c>
      <c r="B39" s="87" t="s">
        <v>63</v>
      </c>
      <c r="C39" s="84">
        <v>0</v>
      </c>
      <c r="D39" s="84">
        <v>0</v>
      </c>
      <c r="E39" s="84">
        <v>0</v>
      </c>
      <c r="F39" s="83">
        <v>0</v>
      </c>
      <c r="G39" s="84">
        <v>0</v>
      </c>
      <c r="H39" s="84">
        <v>0</v>
      </c>
      <c r="I39" s="84">
        <v>820150</v>
      </c>
      <c r="J39" s="83">
        <f t="shared" ref="J39:J41" si="61">SUM(G39:I39)</f>
        <v>820150</v>
      </c>
      <c r="K39" s="84">
        <v>0</v>
      </c>
      <c r="L39" s="84">
        <v>0</v>
      </c>
      <c r="M39" s="84">
        <v>0</v>
      </c>
      <c r="N39" s="84">
        <f>SUM(K39:M39)</f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f t="shared" si="49"/>
        <v>0</v>
      </c>
      <c r="Y39" s="84">
        <f t="shared" si="50"/>
        <v>820150</v>
      </c>
      <c r="Z39" s="83">
        <f t="shared" si="51"/>
        <v>820150</v>
      </c>
      <c r="AA39" s="84">
        <v>0</v>
      </c>
      <c r="AB39" s="84">
        <v>0</v>
      </c>
      <c r="AC39" s="84">
        <v>0</v>
      </c>
      <c r="AD39" s="83">
        <f t="shared" si="52"/>
        <v>0</v>
      </c>
      <c r="AE39" s="84">
        <v>0</v>
      </c>
      <c r="AF39" s="84">
        <v>0</v>
      </c>
      <c r="AG39" s="84">
        <v>0</v>
      </c>
      <c r="AH39" s="83">
        <f t="shared" si="53"/>
        <v>0</v>
      </c>
      <c r="AI39" s="84">
        <v>0</v>
      </c>
      <c r="AJ39" s="84">
        <v>0</v>
      </c>
      <c r="AK39" s="84">
        <v>0</v>
      </c>
      <c r="AL39" s="83">
        <f t="shared" si="54"/>
        <v>0</v>
      </c>
      <c r="AM39" s="84">
        <v>0</v>
      </c>
      <c r="AN39" s="84">
        <v>0</v>
      </c>
      <c r="AO39" s="84">
        <v>0</v>
      </c>
      <c r="AP39" s="83">
        <f t="shared" si="55"/>
        <v>0</v>
      </c>
      <c r="AQ39" s="84">
        <f t="shared" si="59"/>
        <v>0</v>
      </c>
      <c r="AR39" s="84">
        <f t="shared" si="56"/>
        <v>0</v>
      </c>
      <c r="AS39" s="84">
        <f t="shared" ref="AS39:AS41" si="62">Y39-AO39</f>
        <v>820150</v>
      </c>
      <c r="AT39" s="84">
        <f t="shared" ref="AT39:AT41" si="63">SUM(AQ39:AS39)</f>
        <v>820150</v>
      </c>
    </row>
    <row r="40" spans="1:46" s="88" customFormat="1" ht="26.25" customHeight="1">
      <c r="A40" s="86">
        <v>13</v>
      </c>
      <c r="B40" s="87" t="s">
        <v>67</v>
      </c>
      <c r="C40" s="84">
        <v>0</v>
      </c>
      <c r="D40" s="84">
        <v>0</v>
      </c>
      <c r="E40" s="84">
        <v>0</v>
      </c>
      <c r="F40" s="83">
        <v>0</v>
      </c>
      <c r="G40" s="84">
        <v>0</v>
      </c>
      <c r="H40" s="84">
        <v>0</v>
      </c>
      <c r="I40" s="84">
        <v>140000</v>
      </c>
      <c r="J40" s="83">
        <f t="shared" si="61"/>
        <v>140000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f t="shared" si="49"/>
        <v>0</v>
      </c>
      <c r="Y40" s="84">
        <f t="shared" si="50"/>
        <v>140000</v>
      </c>
      <c r="Z40" s="83">
        <f t="shared" si="51"/>
        <v>140000</v>
      </c>
      <c r="AA40" s="84">
        <v>0</v>
      </c>
      <c r="AB40" s="84">
        <v>0</v>
      </c>
      <c r="AC40" s="84">
        <v>0</v>
      </c>
      <c r="AD40" s="83">
        <f t="shared" si="52"/>
        <v>0</v>
      </c>
      <c r="AE40" s="84">
        <v>0</v>
      </c>
      <c r="AF40" s="84">
        <v>0</v>
      </c>
      <c r="AG40" s="84">
        <v>0</v>
      </c>
      <c r="AH40" s="83">
        <f t="shared" si="53"/>
        <v>0</v>
      </c>
      <c r="AI40" s="84">
        <v>0</v>
      </c>
      <c r="AJ40" s="84">
        <v>0</v>
      </c>
      <c r="AK40" s="84">
        <v>0</v>
      </c>
      <c r="AL40" s="83">
        <f t="shared" si="54"/>
        <v>0</v>
      </c>
      <c r="AM40" s="84">
        <v>0</v>
      </c>
      <c r="AN40" s="84">
        <v>0</v>
      </c>
      <c r="AO40" s="84">
        <v>0</v>
      </c>
      <c r="AP40" s="83">
        <f t="shared" si="55"/>
        <v>0</v>
      </c>
      <c r="AQ40" s="84">
        <f t="shared" si="59"/>
        <v>0</v>
      </c>
      <c r="AR40" s="84">
        <f t="shared" si="56"/>
        <v>0</v>
      </c>
      <c r="AS40" s="84">
        <f t="shared" si="62"/>
        <v>140000</v>
      </c>
      <c r="AT40" s="84">
        <f t="shared" si="63"/>
        <v>140000</v>
      </c>
    </row>
    <row r="41" spans="1:46" s="88" customFormat="1" ht="26.25" customHeight="1">
      <c r="A41" s="86">
        <v>14</v>
      </c>
      <c r="B41" s="87" t="s">
        <v>72</v>
      </c>
      <c r="C41" s="84">
        <v>0</v>
      </c>
      <c r="D41" s="84">
        <v>0</v>
      </c>
      <c r="E41" s="84">
        <v>0</v>
      </c>
      <c r="F41" s="83">
        <v>0</v>
      </c>
      <c r="G41" s="84">
        <v>1034450.37</v>
      </c>
      <c r="H41" s="84">
        <v>0</v>
      </c>
      <c r="I41" s="84">
        <v>0</v>
      </c>
      <c r="J41" s="83">
        <f t="shared" si="61"/>
        <v>1034450.37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f>G41</f>
        <v>1034450.37</v>
      </c>
      <c r="X41" s="84">
        <f t="shared" si="49"/>
        <v>0</v>
      </c>
      <c r="Y41" s="84">
        <f t="shared" si="50"/>
        <v>0</v>
      </c>
      <c r="Z41" s="83">
        <f t="shared" si="51"/>
        <v>1034450.37</v>
      </c>
      <c r="AA41" s="84">
        <v>0</v>
      </c>
      <c r="AB41" s="84">
        <v>0</v>
      </c>
      <c r="AC41" s="84">
        <v>0</v>
      </c>
      <c r="AD41" s="83">
        <f t="shared" si="52"/>
        <v>0</v>
      </c>
      <c r="AE41" s="84">
        <v>0</v>
      </c>
      <c r="AF41" s="84">
        <v>0</v>
      </c>
      <c r="AG41" s="84">
        <v>0</v>
      </c>
      <c r="AH41" s="83">
        <f t="shared" si="53"/>
        <v>0</v>
      </c>
      <c r="AI41" s="84">
        <v>0</v>
      </c>
      <c r="AJ41" s="84">
        <v>0</v>
      </c>
      <c r="AK41" s="84">
        <v>0</v>
      </c>
      <c r="AL41" s="83">
        <f t="shared" si="54"/>
        <v>0</v>
      </c>
      <c r="AM41" s="84">
        <v>0</v>
      </c>
      <c r="AN41" s="84">
        <v>0</v>
      </c>
      <c r="AO41" s="84">
        <v>0</v>
      </c>
      <c r="AP41" s="83">
        <f t="shared" si="55"/>
        <v>0</v>
      </c>
      <c r="AQ41" s="84">
        <f>(W41-AI41)</f>
        <v>1034450.37</v>
      </c>
      <c r="AR41" s="84">
        <f t="shared" si="56"/>
        <v>0</v>
      </c>
      <c r="AS41" s="84">
        <f t="shared" si="62"/>
        <v>0</v>
      </c>
      <c r="AT41" s="84">
        <f t="shared" si="63"/>
        <v>1034450.37</v>
      </c>
    </row>
    <row r="42" spans="1:46" ht="6" customHeight="1" thickBot="1">
      <c r="A42" s="6"/>
      <c r="B42" s="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36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1:46" s="88" customFormat="1" ht="14.25" thickBot="1">
      <c r="A43" s="89"/>
      <c r="B43" s="90" t="s">
        <v>0</v>
      </c>
      <c r="C43" s="91">
        <f>SUM(C28:C41)</f>
        <v>0</v>
      </c>
      <c r="D43" s="91">
        <f t="shared" ref="D43:AT43" si="64">SUM(D28:D41)</f>
        <v>0</v>
      </c>
      <c r="E43" s="91">
        <f t="shared" si="64"/>
        <v>0</v>
      </c>
      <c r="F43" s="91">
        <f t="shared" si="64"/>
        <v>0</v>
      </c>
      <c r="G43" s="91">
        <f t="shared" si="64"/>
        <v>1034450.37</v>
      </c>
      <c r="H43" s="91">
        <f t="shared" si="64"/>
        <v>0</v>
      </c>
      <c r="I43" s="91">
        <f t="shared" si="64"/>
        <v>3861021.18</v>
      </c>
      <c r="J43" s="91">
        <f>SUM(J28:J41)</f>
        <v>4895471.55</v>
      </c>
      <c r="K43" s="91">
        <f t="shared" si="64"/>
        <v>0</v>
      </c>
      <c r="L43" s="91">
        <f t="shared" si="64"/>
        <v>0</v>
      </c>
      <c r="M43" s="91">
        <f t="shared" si="64"/>
        <v>0</v>
      </c>
      <c r="N43" s="91">
        <f t="shared" si="64"/>
        <v>0</v>
      </c>
      <c r="O43" s="91">
        <f t="shared" si="64"/>
        <v>0</v>
      </c>
      <c r="P43" s="91">
        <f t="shared" si="64"/>
        <v>0</v>
      </c>
      <c r="Q43" s="91">
        <f t="shared" si="64"/>
        <v>0</v>
      </c>
      <c r="R43" s="91">
        <f t="shared" si="64"/>
        <v>0</v>
      </c>
      <c r="S43" s="91">
        <f t="shared" si="64"/>
        <v>0</v>
      </c>
      <c r="T43" s="91">
        <f t="shared" si="64"/>
        <v>0</v>
      </c>
      <c r="U43" s="91">
        <f t="shared" si="64"/>
        <v>0</v>
      </c>
      <c r="V43" s="91">
        <f t="shared" si="64"/>
        <v>0</v>
      </c>
      <c r="W43" s="91">
        <f t="shared" si="64"/>
        <v>1034450.37</v>
      </c>
      <c r="X43" s="91">
        <f t="shared" si="64"/>
        <v>0</v>
      </c>
      <c r="Y43" s="91">
        <f t="shared" si="64"/>
        <v>3861021.18</v>
      </c>
      <c r="Z43" s="91">
        <f t="shared" si="64"/>
        <v>4895471.55</v>
      </c>
      <c r="AA43" s="91">
        <f t="shared" si="64"/>
        <v>0</v>
      </c>
      <c r="AB43" s="91">
        <f t="shared" si="64"/>
        <v>0</v>
      </c>
      <c r="AC43" s="91">
        <f t="shared" si="64"/>
        <v>60236.39</v>
      </c>
      <c r="AD43" s="91">
        <f t="shared" si="64"/>
        <v>60236.39</v>
      </c>
      <c r="AE43" s="91">
        <f t="shared" si="64"/>
        <v>0</v>
      </c>
      <c r="AF43" s="91">
        <f t="shared" si="64"/>
        <v>0</v>
      </c>
      <c r="AG43" s="91">
        <f t="shared" si="64"/>
        <v>60236.39</v>
      </c>
      <c r="AH43" s="91">
        <f t="shared" si="64"/>
        <v>60236.39</v>
      </c>
      <c r="AI43" s="91">
        <f t="shared" si="64"/>
        <v>0</v>
      </c>
      <c r="AJ43" s="91">
        <f t="shared" si="64"/>
        <v>0</v>
      </c>
      <c r="AK43" s="91">
        <f t="shared" si="64"/>
        <v>60236.39</v>
      </c>
      <c r="AL43" s="91">
        <f t="shared" si="64"/>
        <v>60236.39</v>
      </c>
      <c r="AM43" s="91">
        <f t="shared" si="64"/>
        <v>0</v>
      </c>
      <c r="AN43" s="91">
        <f t="shared" si="64"/>
        <v>0</v>
      </c>
      <c r="AO43" s="91">
        <f t="shared" si="64"/>
        <v>60236.39</v>
      </c>
      <c r="AP43" s="91">
        <f t="shared" si="64"/>
        <v>60236.39</v>
      </c>
      <c r="AQ43" s="91">
        <f t="shared" si="64"/>
        <v>1034450.37</v>
      </c>
      <c r="AR43" s="91">
        <f t="shared" si="64"/>
        <v>0</v>
      </c>
      <c r="AS43" s="91">
        <f t="shared" si="64"/>
        <v>3800784.79</v>
      </c>
      <c r="AT43" s="91">
        <f t="shared" si="64"/>
        <v>4835235.16</v>
      </c>
    </row>
    <row r="46" spans="1:46" ht="14.25" thickBot="1">
      <c r="AT46" s="19"/>
    </row>
    <row r="47" spans="1:46" ht="14.25" thickBot="1">
      <c r="A47" s="181" t="s">
        <v>14</v>
      </c>
      <c r="B47" s="176" t="s">
        <v>15</v>
      </c>
      <c r="C47" s="177" t="s">
        <v>19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9"/>
    </row>
    <row r="48" spans="1:46" ht="12.75" customHeight="1" thickBot="1">
      <c r="A48" s="181"/>
      <c r="B48" s="176"/>
      <c r="C48" s="167" t="s">
        <v>13</v>
      </c>
      <c r="D48" s="168"/>
      <c r="E48" s="168"/>
      <c r="F48" s="169"/>
      <c r="G48" s="173" t="s">
        <v>38</v>
      </c>
      <c r="H48" s="174"/>
      <c r="I48" s="174"/>
      <c r="J48" s="174"/>
      <c r="K48" s="174"/>
      <c r="L48" s="174"/>
      <c r="M48" s="174"/>
      <c r="N48" s="175"/>
      <c r="O48" s="173" t="s">
        <v>39</v>
      </c>
      <c r="P48" s="174"/>
      <c r="Q48" s="174"/>
      <c r="R48" s="174"/>
      <c r="S48" s="174"/>
      <c r="T48" s="174"/>
      <c r="U48" s="174"/>
      <c r="V48" s="175"/>
      <c r="W48" s="167" t="s">
        <v>17</v>
      </c>
      <c r="X48" s="168"/>
      <c r="Y48" s="168"/>
      <c r="Z48" s="169"/>
      <c r="AA48" s="167" t="s">
        <v>12</v>
      </c>
      <c r="AB48" s="168"/>
      <c r="AC48" s="168"/>
      <c r="AD48" s="169"/>
      <c r="AE48" s="167" t="s">
        <v>7</v>
      </c>
      <c r="AF48" s="168"/>
      <c r="AG48" s="168"/>
      <c r="AH48" s="169"/>
      <c r="AI48" s="167" t="s">
        <v>1</v>
      </c>
      <c r="AJ48" s="168"/>
      <c r="AK48" s="168"/>
      <c r="AL48" s="169"/>
      <c r="AM48" s="167" t="s">
        <v>11</v>
      </c>
      <c r="AN48" s="168"/>
      <c r="AO48" s="168"/>
      <c r="AP48" s="169"/>
      <c r="AQ48" s="167" t="s">
        <v>29</v>
      </c>
      <c r="AR48" s="168"/>
      <c r="AS48" s="168"/>
      <c r="AT48" s="169"/>
    </row>
    <row r="49" spans="1:53" ht="12.75" customHeight="1" thickBot="1">
      <c r="A49" s="181"/>
      <c r="B49" s="176"/>
      <c r="C49" s="170"/>
      <c r="D49" s="171"/>
      <c r="E49" s="171"/>
      <c r="F49" s="172"/>
      <c r="G49" s="173" t="s">
        <v>4</v>
      </c>
      <c r="H49" s="174"/>
      <c r="I49" s="174"/>
      <c r="J49" s="175"/>
      <c r="K49" s="173" t="s">
        <v>5</v>
      </c>
      <c r="L49" s="174"/>
      <c r="M49" s="174"/>
      <c r="N49" s="175"/>
      <c r="O49" s="173" t="s">
        <v>4</v>
      </c>
      <c r="P49" s="174"/>
      <c r="Q49" s="174"/>
      <c r="R49" s="175"/>
      <c r="S49" s="173" t="s">
        <v>5</v>
      </c>
      <c r="T49" s="174"/>
      <c r="U49" s="174"/>
      <c r="V49" s="175"/>
      <c r="W49" s="170"/>
      <c r="X49" s="171"/>
      <c r="Y49" s="171"/>
      <c r="Z49" s="172"/>
      <c r="AA49" s="170"/>
      <c r="AB49" s="171"/>
      <c r="AC49" s="171"/>
      <c r="AD49" s="172"/>
      <c r="AE49" s="170"/>
      <c r="AF49" s="171"/>
      <c r="AG49" s="171"/>
      <c r="AH49" s="172"/>
      <c r="AI49" s="170"/>
      <c r="AJ49" s="171"/>
      <c r="AK49" s="171"/>
      <c r="AL49" s="172"/>
      <c r="AM49" s="170"/>
      <c r="AN49" s="171"/>
      <c r="AO49" s="171"/>
      <c r="AP49" s="172"/>
      <c r="AQ49" s="170"/>
      <c r="AR49" s="171"/>
      <c r="AS49" s="171"/>
      <c r="AT49" s="172"/>
    </row>
    <row r="50" spans="1:53" ht="30" customHeight="1" thickBot="1">
      <c r="A50" s="181"/>
      <c r="B50" s="176"/>
      <c r="C50" s="8" t="s">
        <v>16</v>
      </c>
      <c r="D50" s="8" t="s">
        <v>70</v>
      </c>
      <c r="E50" s="8" t="s">
        <v>71</v>
      </c>
      <c r="F50" s="8" t="s">
        <v>0</v>
      </c>
      <c r="G50" s="8" t="s">
        <v>16</v>
      </c>
      <c r="H50" s="8" t="s">
        <v>70</v>
      </c>
      <c r="I50" s="8" t="s">
        <v>71</v>
      </c>
      <c r="J50" s="8" t="s">
        <v>0</v>
      </c>
      <c r="K50" s="8" t="s">
        <v>16</v>
      </c>
      <c r="L50" s="8" t="s">
        <v>70</v>
      </c>
      <c r="M50" s="8" t="s">
        <v>71</v>
      </c>
      <c r="N50" s="8" t="s">
        <v>0</v>
      </c>
      <c r="O50" s="8" t="s">
        <v>16</v>
      </c>
      <c r="P50" s="8" t="s">
        <v>70</v>
      </c>
      <c r="Q50" s="8" t="s">
        <v>71</v>
      </c>
      <c r="R50" s="8" t="s">
        <v>0</v>
      </c>
      <c r="S50" s="8" t="s">
        <v>16</v>
      </c>
      <c r="T50" s="8" t="s">
        <v>70</v>
      </c>
      <c r="U50" s="8" t="s">
        <v>71</v>
      </c>
      <c r="V50" s="8" t="s">
        <v>0</v>
      </c>
      <c r="W50" s="8" t="s">
        <v>16</v>
      </c>
      <c r="X50" s="8" t="s">
        <v>70</v>
      </c>
      <c r="Y50" s="8" t="s">
        <v>71</v>
      </c>
      <c r="Z50" s="8" t="s">
        <v>0</v>
      </c>
      <c r="AA50" s="8" t="s">
        <v>16</v>
      </c>
      <c r="AB50" s="8" t="s">
        <v>70</v>
      </c>
      <c r="AC50" s="8" t="s">
        <v>71</v>
      </c>
      <c r="AD50" s="8" t="s">
        <v>0</v>
      </c>
      <c r="AE50" s="8" t="s">
        <v>16</v>
      </c>
      <c r="AF50" s="8" t="s">
        <v>70</v>
      </c>
      <c r="AG50" s="8" t="s">
        <v>71</v>
      </c>
      <c r="AH50" s="8" t="s">
        <v>0</v>
      </c>
      <c r="AI50" s="8" t="s">
        <v>16</v>
      </c>
      <c r="AJ50" s="8" t="s">
        <v>70</v>
      </c>
      <c r="AK50" s="8" t="s">
        <v>71</v>
      </c>
      <c r="AL50" s="8" t="s">
        <v>0</v>
      </c>
      <c r="AM50" s="8" t="s">
        <v>16</v>
      </c>
      <c r="AN50" s="8" t="s">
        <v>70</v>
      </c>
      <c r="AO50" s="8" t="s">
        <v>71</v>
      </c>
      <c r="AP50" s="8" t="s">
        <v>0</v>
      </c>
      <c r="AQ50" s="8" t="s">
        <v>16</v>
      </c>
      <c r="AR50" s="8" t="s">
        <v>70</v>
      </c>
      <c r="AS50" s="8" t="s">
        <v>71</v>
      </c>
      <c r="AT50" s="8" t="s">
        <v>0</v>
      </c>
    </row>
    <row r="51" spans="1:53" s="88" customFormat="1" ht="46.5" customHeight="1">
      <c r="A51" s="86">
        <v>1</v>
      </c>
      <c r="B51" s="87" t="s">
        <v>56</v>
      </c>
      <c r="C51" s="111">
        <f>252392+C14</f>
        <v>402543</v>
      </c>
      <c r="D51" s="111">
        <f>69739.98+D14</f>
        <v>73655.98</v>
      </c>
      <c r="E51" s="111">
        <f>69739.98+E14</f>
        <v>73655.98</v>
      </c>
      <c r="F51" s="113">
        <f>SUM(C51:E51)</f>
        <v>549854.96</v>
      </c>
      <c r="G51" s="111">
        <f>88605.44+G14-0.36</f>
        <v>192352.47000000003</v>
      </c>
      <c r="H51" s="111">
        <f>42582.92+H14+0.36</f>
        <v>61770.03</v>
      </c>
      <c r="I51" s="111">
        <f>42583.28+I14</f>
        <v>61770.03</v>
      </c>
      <c r="J51" s="113">
        <f>SUM(G51:I51)</f>
        <v>315892.53000000003</v>
      </c>
      <c r="K51" s="111">
        <f>88605.44+K14-0.36</f>
        <v>192352.47000000003</v>
      </c>
      <c r="L51" s="111">
        <f>42582.92+L14+0.36</f>
        <v>61770.03</v>
      </c>
      <c r="M51" s="111">
        <f>42583.28+M14</f>
        <v>61770.03</v>
      </c>
      <c r="N51" s="113">
        <f>SUM(K51:M51)</f>
        <v>315892.53000000003</v>
      </c>
      <c r="O51" s="111">
        <f>32981.85+O14</f>
        <v>69759.38</v>
      </c>
      <c r="P51" s="111">
        <f>19408.82+P14</f>
        <v>31238.89</v>
      </c>
      <c r="Q51" s="111">
        <f>19409.16+Q14</f>
        <v>31238.880000000001</v>
      </c>
      <c r="R51" s="113">
        <f>SUM(O51:Q51)</f>
        <v>132237.15</v>
      </c>
      <c r="S51" s="111">
        <f>32981.85+S14</f>
        <v>69759.38</v>
      </c>
      <c r="T51" s="111">
        <f>19408.82+T14</f>
        <v>31238.89</v>
      </c>
      <c r="U51" s="111">
        <f>19409.16+U14</f>
        <v>31238.880000000001</v>
      </c>
      <c r="V51" s="113">
        <f>SUM(S51:U51)</f>
        <v>132237.15</v>
      </c>
      <c r="W51" s="112">
        <f>252392+W14</f>
        <v>402543</v>
      </c>
      <c r="X51" s="112">
        <f>69739.98+X14</f>
        <v>73655.98</v>
      </c>
      <c r="Y51" s="112">
        <f>69739.98+Y14</f>
        <v>73655.98</v>
      </c>
      <c r="Z51" s="113">
        <f>SUM(W51:Y51)</f>
        <v>549854.96</v>
      </c>
      <c r="AA51" s="111">
        <f>198085.37+AA14</f>
        <v>330258.71999999997</v>
      </c>
      <c r="AB51" s="111">
        <f>53149.18+AB14</f>
        <v>73655.98</v>
      </c>
      <c r="AC51" s="111">
        <f>53149.55+AC14</f>
        <v>73655.98000000001</v>
      </c>
      <c r="AD51" s="113">
        <f>SUM(AA51:AC51)</f>
        <v>477570.67999999993</v>
      </c>
      <c r="AE51" s="111">
        <f>198085.37+AE14</f>
        <v>330258.71999999997</v>
      </c>
      <c r="AF51" s="111">
        <f>53149.18+AF14</f>
        <v>73655.98</v>
      </c>
      <c r="AG51" s="111">
        <f>53149.55+AG14</f>
        <v>73655.98000000001</v>
      </c>
      <c r="AH51" s="113">
        <f>SUM(AE51:AG51)</f>
        <v>477570.67999999993</v>
      </c>
      <c r="AI51" s="111">
        <f>198085.37+AI14</f>
        <v>330258.71999999997</v>
      </c>
      <c r="AJ51" s="111">
        <f>53149.18+AJ14</f>
        <v>73655.98</v>
      </c>
      <c r="AK51" s="111">
        <f>53149.55+AK14</f>
        <v>73655.98000000001</v>
      </c>
      <c r="AL51" s="113">
        <f>SUM(AI51:AK51)</f>
        <v>477570.67999999993</v>
      </c>
      <c r="AM51" s="112">
        <f>198085.37+AM14</f>
        <v>330258.71999999997</v>
      </c>
      <c r="AN51" s="112">
        <f>53149.18+AN14</f>
        <v>73655.98</v>
      </c>
      <c r="AO51" s="112">
        <f>53149.55+AO14</f>
        <v>73655.98000000001</v>
      </c>
      <c r="AP51" s="113">
        <f>SUM(AM51:AO51)</f>
        <v>477570.67999999993</v>
      </c>
      <c r="AQ51" s="112">
        <f>54306.63+AQ14</f>
        <v>72284.28</v>
      </c>
      <c r="AR51" s="112">
        <f>16590.8+AR14</f>
        <v>0</v>
      </c>
      <c r="AS51" s="112">
        <f>16590.43+AS14</f>
        <v>0</v>
      </c>
      <c r="AT51" s="113">
        <f>SUM(AQ51:AS51)</f>
        <v>72284.28</v>
      </c>
    </row>
    <row r="52" spans="1:53" s="88" customFormat="1" ht="46.5" customHeight="1">
      <c r="A52" s="86">
        <v>2</v>
      </c>
      <c r="B52" s="87" t="s">
        <v>57</v>
      </c>
      <c r="C52" s="111">
        <f>5148740+C15</f>
        <v>5668936</v>
      </c>
      <c r="D52" s="111">
        <f>629156+D15</f>
        <v>1170646</v>
      </c>
      <c r="E52" s="111">
        <f>629156+E15</f>
        <v>1170646</v>
      </c>
      <c r="F52" s="113">
        <f>SUM(C52:E52)</f>
        <v>8010228</v>
      </c>
      <c r="G52" s="111">
        <f>252849.24+G15</f>
        <v>1101943.29</v>
      </c>
      <c r="H52" s="111">
        <f>144909.35+H15</f>
        <v>340483.08999999997</v>
      </c>
      <c r="I52" s="111">
        <f>144909.08+I15</f>
        <v>340482.69999999995</v>
      </c>
      <c r="J52" s="113">
        <f>SUM(G52:I52)</f>
        <v>1782909.0799999998</v>
      </c>
      <c r="K52" s="111">
        <f>252849.24+K15</f>
        <v>3739546.6799999997</v>
      </c>
      <c r="L52" s="111">
        <f>144909.35+L15</f>
        <v>340483.08999999997</v>
      </c>
      <c r="M52" s="111">
        <f>144909.08+M15</f>
        <v>340482.69999999995</v>
      </c>
      <c r="N52" s="113">
        <f t="shared" ref="N52:N55" si="65">SUM(K52:M52)</f>
        <v>4420512.47</v>
      </c>
      <c r="O52" s="111">
        <f>59572.9+O15</f>
        <v>1768416.3499999999</v>
      </c>
      <c r="P52" s="111">
        <f>166942.96+P15</f>
        <v>293560.5</v>
      </c>
      <c r="Q52" s="111">
        <f>166942.59+Q15</f>
        <v>294010.05000000005</v>
      </c>
      <c r="R52" s="113">
        <f>SUM(O52:Q52)</f>
        <v>2355986.9</v>
      </c>
      <c r="S52" s="111">
        <f>59572.9+S15</f>
        <v>1768416.3499999999</v>
      </c>
      <c r="T52" s="111">
        <f>166942.96+T15</f>
        <v>293560.5</v>
      </c>
      <c r="U52" s="111">
        <f>166942.59+U15</f>
        <v>294010.05000000005</v>
      </c>
      <c r="V52" s="113">
        <f t="shared" ref="V52:V55" si="66">SUM(S52:U52)</f>
        <v>2355986.9</v>
      </c>
      <c r="W52" s="112">
        <f>5148740+W15</f>
        <v>3031332.6100000003</v>
      </c>
      <c r="X52" s="112">
        <f>629156+X15</f>
        <v>1170646</v>
      </c>
      <c r="Y52" s="112">
        <f>629156+Y15</f>
        <v>1170646</v>
      </c>
      <c r="Z52" s="113">
        <f>SUM(W52:Y52)</f>
        <v>5372624.6100000003</v>
      </c>
      <c r="AA52" s="111">
        <f>1317993.37+AA15</f>
        <v>2939395.75</v>
      </c>
      <c r="AB52" s="111">
        <f>403563.81+AB15</f>
        <v>637946</v>
      </c>
      <c r="AC52" s="111">
        <f>403563.45+AC15</f>
        <v>637946</v>
      </c>
      <c r="AD52" s="113">
        <f>SUM(AA52:AC52)</f>
        <v>4215287.75</v>
      </c>
      <c r="AE52" s="111">
        <f>1317993.37+AE15</f>
        <v>2939395.75</v>
      </c>
      <c r="AF52" s="111">
        <f>403563.81+AF15</f>
        <v>637946</v>
      </c>
      <c r="AG52" s="111">
        <f>403563.45+AG15</f>
        <v>637946</v>
      </c>
      <c r="AH52" s="113">
        <f>SUM(AE52:AG52)</f>
        <v>4215287.75</v>
      </c>
      <c r="AI52" s="111">
        <f>1317993.37+AI15</f>
        <v>2939395.75</v>
      </c>
      <c r="AJ52" s="111">
        <f>403563.81+AJ15</f>
        <v>637946</v>
      </c>
      <c r="AK52" s="111">
        <f>403563.45+AK15</f>
        <v>637946</v>
      </c>
      <c r="AL52" s="113">
        <f>SUM(AI52:AK52)</f>
        <v>4215287.75</v>
      </c>
      <c r="AM52" s="112">
        <f>1317993.37+AM15</f>
        <v>2777988.72</v>
      </c>
      <c r="AN52" s="112">
        <f>403563.81+AN15</f>
        <v>634141.15</v>
      </c>
      <c r="AO52" s="112">
        <f>403563.45+AO15</f>
        <v>634141.16</v>
      </c>
      <c r="AP52" s="113">
        <f>SUM(AM52:AO52)</f>
        <v>4046271.0300000003</v>
      </c>
      <c r="AQ52" s="112">
        <f>3830746.63+AQ15</f>
        <v>91936.860000000335</v>
      </c>
      <c r="AR52" s="112">
        <f>225592.19+AR15</f>
        <v>532700</v>
      </c>
      <c r="AS52" s="112">
        <f>225592.55+AS15</f>
        <v>532700</v>
      </c>
      <c r="AT52" s="113">
        <f>SUM(AQ52:AS52)</f>
        <v>1157336.8600000003</v>
      </c>
    </row>
    <row r="53" spans="1:53" s="88" customFormat="1" ht="46.5" customHeight="1">
      <c r="A53" s="86">
        <v>3</v>
      </c>
      <c r="B53" s="87" t="s">
        <v>58</v>
      </c>
      <c r="C53" s="111">
        <f>0+C16</f>
        <v>0</v>
      </c>
      <c r="D53" s="111">
        <f>13500+D16</f>
        <v>13500</v>
      </c>
      <c r="E53" s="111">
        <f>13500+E16</f>
        <v>13500</v>
      </c>
      <c r="F53" s="113">
        <f>SUM(C53:E53)</f>
        <v>27000</v>
      </c>
      <c r="G53" s="111">
        <f>0+G16</f>
        <v>0</v>
      </c>
      <c r="H53" s="111">
        <f>4922.24+H16</f>
        <v>11795.48</v>
      </c>
      <c r="I53" s="111">
        <f>4922.24+I16</f>
        <v>11795.5</v>
      </c>
      <c r="J53" s="113">
        <f t="shared" ref="J53:J54" si="67">SUM(G53:I53)</f>
        <v>23590.98</v>
      </c>
      <c r="K53" s="111">
        <f>0+K16</f>
        <v>0</v>
      </c>
      <c r="L53" s="111">
        <f>4922.24+L16</f>
        <v>11795.48</v>
      </c>
      <c r="M53" s="111">
        <f>4922.24+M16</f>
        <v>11795.5</v>
      </c>
      <c r="N53" s="113">
        <f t="shared" si="65"/>
        <v>23590.98</v>
      </c>
      <c r="O53" s="111">
        <f>0+O16</f>
        <v>0</v>
      </c>
      <c r="P53" s="111">
        <f>1756.68+P16</f>
        <v>8629.93</v>
      </c>
      <c r="Q53" s="111">
        <f>1756.67+Q16</f>
        <v>8629.92</v>
      </c>
      <c r="R53" s="113">
        <f t="shared" ref="R53:R55" si="68">SUM(O53:Q53)</f>
        <v>17259.849999999999</v>
      </c>
      <c r="S53" s="111">
        <f>0+S16</f>
        <v>0</v>
      </c>
      <c r="T53" s="111">
        <f>1756.68+T16</f>
        <v>8629.93</v>
      </c>
      <c r="U53" s="111">
        <f>1756.67+U16</f>
        <v>8629.92</v>
      </c>
      <c r="V53" s="113">
        <f t="shared" si="66"/>
        <v>17259.849999999999</v>
      </c>
      <c r="W53" s="112">
        <f>0+W16</f>
        <v>0</v>
      </c>
      <c r="X53" s="112">
        <f>13500+X16</f>
        <v>13500</v>
      </c>
      <c r="Y53" s="112">
        <f>13500+Y16</f>
        <v>13500</v>
      </c>
      <c r="Z53" s="113">
        <f t="shared" ref="Z53:Z55" si="69">SUM(W53:Y53)</f>
        <v>27000</v>
      </c>
      <c r="AA53" s="111">
        <f>0+AA16</f>
        <v>0</v>
      </c>
      <c r="AB53" s="111">
        <f>6626.76+AB16</f>
        <v>13500</v>
      </c>
      <c r="AC53" s="111">
        <f>6626.74+AC16</f>
        <v>13500</v>
      </c>
      <c r="AD53" s="113">
        <f>SUM(AA53:AC53)</f>
        <v>27000</v>
      </c>
      <c r="AE53" s="111">
        <f>0+AE16</f>
        <v>0</v>
      </c>
      <c r="AF53" s="111">
        <f>6626.76+AF16</f>
        <v>13500</v>
      </c>
      <c r="AG53" s="111">
        <f>6626.74+AG16</f>
        <v>13500</v>
      </c>
      <c r="AH53" s="113">
        <f>SUM(AE53:AG53)</f>
        <v>27000</v>
      </c>
      <c r="AI53" s="111">
        <f>0+AI16</f>
        <v>0</v>
      </c>
      <c r="AJ53" s="111">
        <f>6626.76+AJ16</f>
        <v>13500</v>
      </c>
      <c r="AK53" s="111">
        <f>6626.74+AK16</f>
        <v>13500</v>
      </c>
      <c r="AL53" s="113">
        <f>SUM(AI53:AK53)</f>
        <v>27000</v>
      </c>
      <c r="AM53" s="112">
        <f>0+AM16</f>
        <v>0</v>
      </c>
      <c r="AN53" s="111">
        <f>6626.76+AN16</f>
        <v>13000</v>
      </c>
      <c r="AO53" s="111">
        <f>6626.74+AO16</f>
        <v>13000</v>
      </c>
      <c r="AP53" s="113">
        <f>SUM(AM53:AO53)</f>
        <v>26000</v>
      </c>
      <c r="AQ53" s="112">
        <f>0+AQ16</f>
        <v>0</v>
      </c>
      <c r="AR53" s="112">
        <f>6873.24+AR16</f>
        <v>0</v>
      </c>
      <c r="AS53" s="112">
        <f>6873.26+AS16</f>
        <v>0</v>
      </c>
      <c r="AT53" s="113">
        <f>SUM(AQ53:AS53)</f>
        <v>0</v>
      </c>
    </row>
    <row r="54" spans="1:53" s="88" customFormat="1" ht="46.5" customHeight="1">
      <c r="A54" s="86">
        <v>4</v>
      </c>
      <c r="B54" s="87" t="s">
        <v>59</v>
      </c>
      <c r="C54" s="111">
        <f>0+C17</f>
        <v>0</v>
      </c>
      <c r="D54" s="111">
        <f>127499+D17</f>
        <v>127499</v>
      </c>
      <c r="E54" s="111">
        <f>127499+E17</f>
        <v>127499</v>
      </c>
      <c r="F54" s="113">
        <f>SUM(C54:E54)</f>
        <v>254998</v>
      </c>
      <c r="G54" s="111">
        <f>0+G17</f>
        <v>0</v>
      </c>
      <c r="H54" s="111">
        <f>48260+H17</f>
        <v>49356.18</v>
      </c>
      <c r="I54" s="111">
        <f>48260+I17</f>
        <v>49356.18</v>
      </c>
      <c r="J54" s="113">
        <f t="shared" si="67"/>
        <v>98712.36</v>
      </c>
      <c r="K54" s="111">
        <f>0+K17</f>
        <v>0</v>
      </c>
      <c r="L54" s="111">
        <f>48260+L17</f>
        <v>49356.18</v>
      </c>
      <c r="M54" s="111">
        <f>48260+M17</f>
        <v>49356.18</v>
      </c>
      <c r="N54" s="113">
        <f t="shared" si="65"/>
        <v>98712.36</v>
      </c>
      <c r="O54" s="111">
        <f>0+O17</f>
        <v>0</v>
      </c>
      <c r="P54" s="111">
        <f>69128+P17</f>
        <v>123437.5</v>
      </c>
      <c r="Q54" s="111">
        <f>69128+Q17</f>
        <v>123437.5</v>
      </c>
      <c r="R54" s="113">
        <f t="shared" si="68"/>
        <v>246875</v>
      </c>
      <c r="S54" s="111">
        <f>0+S17</f>
        <v>0</v>
      </c>
      <c r="T54" s="111">
        <f>69128+T17</f>
        <v>123437.5</v>
      </c>
      <c r="U54" s="111">
        <f>69128+U17</f>
        <v>123437.5</v>
      </c>
      <c r="V54" s="113">
        <f t="shared" si="66"/>
        <v>246875</v>
      </c>
      <c r="W54" s="112">
        <f>0+W17</f>
        <v>0</v>
      </c>
      <c r="X54" s="112">
        <f>127499+X17</f>
        <v>127499</v>
      </c>
      <c r="Y54" s="112">
        <f>127499+Y17</f>
        <v>127499</v>
      </c>
      <c r="Z54" s="113">
        <f t="shared" si="69"/>
        <v>254998</v>
      </c>
      <c r="AA54" s="111">
        <f>0+AA17</f>
        <v>0</v>
      </c>
      <c r="AB54" s="111">
        <f>73189.5+AB17</f>
        <v>127499</v>
      </c>
      <c r="AC54" s="111">
        <f>73189.5+AC17</f>
        <v>127499</v>
      </c>
      <c r="AD54" s="113">
        <f>SUM(AA54:AC54)</f>
        <v>254998</v>
      </c>
      <c r="AE54" s="111">
        <f>0+AE17</f>
        <v>0</v>
      </c>
      <c r="AF54" s="111">
        <f>73189.5+AF17</f>
        <v>127499</v>
      </c>
      <c r="AG54" s="111">
        <f>73189.5+AG17</f>
        <v>127499</v>
      </c>
      <c r="AH54" s="113">
        <f>SUM(AE54:AG54)</f>
        <v>254998</v>
      </c>
      <c r="AI54" s="111">
        <f>0+AI17</f>
        <v>0</v>
      </c>
      <c r="AJ54" s="111">
        <f>73189.5+AJ17</f>
        <v>127499</v>
      </c>
      <c r="AK54" s="111">
        <f>73189.5+AK17</f>
        <v>127499</v>
      </c>
      <c r="AL54" s="113">
        <f>SUM(AI54:AK54)</f>
        <v>254998</v>
      </c>
      <c r="AM54" s="112">
        <f>0+AM17</f>
        <v>0</v>
      </c>
      <c r="AN54" s="111">
        <f>73189.5+AN17</f>
        <v>127080.7</v>
      </c>
      <c r="AO54" s="111">
        <f>73189.5+AO17</f>
        <v>127080.7</v>
      </c>
      <c r="AP54" s="113">
        <f>SUM(AM54:AO54)</f>
        <v>254161.4</v>
      </c>
      <c r="AQ54" s="112">
        <f>0+AQ17</f>
        <v>0</v>
      </c>
      <c r="AR54" s="112">
        <f>54309.5+AR17</f>
        <v>0</v>
      </c>
      <c r="AS54" s="112">
        <f>54309.5+AS17</f>
        <v>0</v>
      </c>
      <c r="AT54" s="113">
        <f>SUM(AQ54:AS54)</f>
        <v>0</v>
      </c>
    </row>
    <row r="55" spans="1:53" s="88" customFormat="1" ht="46.5" customHeight="1">
      <c r="A55" s="86">
        <v>5</v>
      </c>
      <c r="B55" s="87" t="s">
        <v>60</v>
      </c>
      <c r="C55" s="111">
        <f>6618670.28+C18</f>
        <v>9996083</v>
      </c>
      <c r="D55" s="111">
        <f>17705535.48+D18</f>
        <v>28224449.530000001</v>
      </c>
      <c r="E55" s="111">
        <f>17705535.48+E18</f>
        <v>26730416.02</v>
      </c>
      <c r="F55" s="113">
        <f>SUM(C55:E55)</f>
        <v>64950948.549999997</v>
      </c>
      <c r="G55" s="111">
        <f>172063+G18+0.36+1800</f>
        <v>1589192.35</v>
      </c>
      <c r="H55" s="111">
        <f>304861.63-5969.36+H18</f>
        <v>1209092.2800000003</v>
      </c>
      <c r="I55" s="111">
        <v>932894.06</v>
      </c>
      <c r="J55" s="113">
        <f>SUM(G55:I55)</f>
        <v>3731178.6900000004</v>
      </c>
      <c r="K55" s="111">
        <f>172063+K18+0.36+1800</f>
        <v>976010.77</v>
      </c>
      <c r="L55" s="111">
        <f>304861.63-5969.36+L18</f>
        <v>1209092.28</v>
      </c>
      <c r="M55" s="111">
        <v>932894.06</v>
      </c>
      <c r="N55" s="113">
        <f t="shared" si="65"/>
        <v>3117997.11</v>
      </c>
      <c r="O55" s="111">
        <f>512583.92+O18</f>
        <v>2292132.73</v>
      </c>
      <c r="P55" s="111">
        <f>1002582.67+P18</f>
        <v>1619973.65</v>
      </c>
      <c r="Q55" s="111">
        <v>1628113.13</v>
      </c>
      <c r="R55" s="113">
        <f t="shared" si="68"/>
        <v>5540219.5099999998</v>
      </c>
      <c r="S55" s="111">
        <f>512583.92+S18</f>
        <v>2292132.73</v>
      </c>
      <c r="T55" s="111">
        <f>1002582.67+T18</f>
        <v>1619973.65</v>
      </c>
      <c r="U55" s="111">
        <v>1628113.13</v>
      </c>
      <c r="V55" s="113">
        <f t="shared" si="66"/>
        <v>5540219.5099999998</v>
      </c>
      <c r="W55" s="112">
        <f>6618670.28+W18</f>
        <v>10609264.58</v>
      </c>
      <c r="X55" s="112">
        <f>17705535.48+X18</f>
        <v>28224449.530000001</v>
      </c>
      <c r="Y55" s="112">
        <f>17705535.48+Y18</f>
        <v>26730416.02</v>
      </c>
      <c r="Z55" s="113">
        <f t="shared" si="69"/>
        <v>65564130.129999995</v>
      </c>
      <c r="AA55" s="111">
        <f>4349018.14+AA18</f>
        <v>9963113.129999999</v>
      </c>
      <c r="AB55" s="111">
        <f>17221308.64+AB18</f>
        <v>28076011.66</v>
      </c>
      <c r="AC55" s="111">
        <f>17221307.63+AC18</f>
        <v>26590382.219999999</v>
      </c>
      <c r="AD55" s="113">
        <f>SUM(AA55:AC55)</f>
        <v>64629507.009999998</v>
      </c>
      <c r="AE55" s="111">
        <f>4349018.14+AE18</f>
        <v>9963113.129999999</v>
      </c>
      <c r="AF55" s="111">
        <f>17221308.64+AF18</f>
        <v>28076011.66</v>
      </c>
      <c r="AG55" s="111">
        <f>17221307.63+AG18</f>
        <v>26590382.219999999</v>
      </c>
      <c r="AH55" s="113">
        <f>SUM(AE55:AG55)</f>
        <v>64629507.009999998</v>
      </c>
      <c r="AI55" s="111">
        <f>4349018.14+AI18</f>
        <v>9963113.129999999</v>
      </c>
      <c r="AJ55" s="111">
        <f>17221308.64+AJ18</f>
        <v>28076011.66</v>
      </c>
      <c r="AK55" s="111">
        <f>17221307.63+AK18</f>
        <v>26590382.219999999</v>
      </c>
      <c r="AL55" s="113">
        <f>SUM(AI55:AK55)</f>
        <v>64629507.009999998</v>
      </c>
      <c r="AM55" s="112">
        <f>4349018.14+AM18</f>
        <v>9322048.120000001</v>
      </c>
      <c r="AN55" s="111">
        <f>17221308.64+AN18</f>
        <v>27530031.579999998</v>
      </c>
      <c r="AO55" s="112">
        <f>17221307.63+AO18</f>
        <v>26371400.049999997</v>
      </c>
      <c r="AP55" s="113">
        <f>SUM(AM55:AO55)</f>
        <v>63223479.75</v>
      </c>
      <c r="AQ55" s="112">
        <f>2269652.14+AQ18</f>
        <v>646151.44999999925</v>
      </c>
      <c r="AR55" s="112">
        <f>484226.84+AR18</f>
        <v>148437.87000000122</v>
      </c>
      <c r="AS55" s="112">
        <f>484227.850000001+AS18</f>
        <v>140033.80000000028</v>
      </c>
      <c r="AT55" s="113">
        <f>SUM(AQ55:AS55)</f>
        <v>934623.12000000081</v>
      </c>
    </row>
    <row r="56" spans="1:53" s="88" customFormat="1" ht="6" customHeight="1" thickBot="1">
      <c r="A56" s="116"/>
      <c r="B56" s="117"/>
      <c r="C56" s="97"/>
      <c r="D56" s="97"/>
      <c r="E56" s="97"/>
      <c r="F56" s="83"/>
      <c r="G56" s="97"/>
      <c r="H56" s="97"/>
      <c r="I56" s="97"/>
      <c r="J56" s="83"/>
      <c r="K56" s="97"/>
      <c r="L56" s="97"/>
      <c r="M56" s="97"/>
      <c r="N56" s="83"/>
      <c r="O56" s="97"/>
      <c r="P56" s="97"/>
      <c r="Q56" s="97"/>
      <c r="R56" s="83"/>
      <c r="S56" s="97"/>
      <c r="T56" s="97"/>
      <c r="U56" s="97"/>
      <c r="V56" s="83"/>
      <c r="W56" s="84"/>
      <c r="X56" s="84"/>
      <c r="Y56" s="84"/>
      <c r="Z56" s="83"/>
      <c r="AA56" s="97"/>
      <c r="AB56" s="97"/>
      <c r="AC56" s="97"/>
      <c r="AD56" s="83"/>
      <c r="AE56" s="97"/>
      <c r="AF56" s="97"/>
      <c r="AG56" s="97"/>
      <c r="AH56" s="83"/>
      <c r="AI56" s="97"/>
      <c r="AJ56" s="97"/>
      <c r="AK56" s="97"/>
      <c r="AL56" s="83"/>
      <c r="AM56" s="97"/>
      <c r="AN56" s="97"/>
      <c r="AO56" s="97"/>
      <c r="AP56" s="83"/>
      <c r="AQ56" s="84"/>
      <c r="AR56" s="84"/>
      <c r="AS56" s="84"/>
      <c r="AT56" s="84"/>
    </row>
    <row r="57" spans="1:53" s="88" customFormat="1" ht="14.25" thickBot="1">
      <c r="A57" s="89"/>
      <c r="B57" s="90" t="s">
        <v>0</v>
      </c>
      <c r="C57" s="98">
        <f>SUM(C51:C55)</f>
        <v>16067562</v>
      </c>
      <c r="D57" s="98">
        <f t="shared" ref="D57:AT57" si="70">SUM(D51:D55)</f>
        <v>29609750.510000002</v>
      </c>
      <c r="E57" s="98">
        <f t="shared" si="70"/>
        <v>28115717</v>
      </c>
      <c r="F57" s="122">
        <f t="shared" si="70"/>
        <v>73793029.50999999</v>
      </c>
      <c r="G57" s="98">
        <f t="shared" si="70"/>
        <v>2883488.1100000003</v>
      </c>
      <c r="H57" s="98">
        <f t="shared" si="70"/>
        <v>1672497.0600000003</v>
      </c>
      <c r="I57" s="98">
        <f t="shared" si="70"/>
        <v>1396298.47</v>
      </c>
      <c r="J57" s="98">
        <f t="shared" si="70"/>
        <v>5952283.6400000006</v>
      </c>
      <c r="K57" s="98">
        <f t="shared" si="70"/>
        <v>4907909.92</v>
      </c>
      <c r="L57" s="98">
        <f t="shared" si="70"/>
        <v>1672497.06</v>
      </c>
      <c r="M57" s="98">
        <f t="shared" si="70"/>
        <v>1396298.47</v>
      </c>
      <c r="N57" s="98">
        <f t="shared" si="70"/>
        <v>7976705.4500000011</v>
      </c>
      <c r="O57" s="98">
        <f t="shared" si="70"/>
        <v>4130308.46</v>
      </c>
      <c r="P57" s="98">
        <f t="shared" si="70"/>
        <v>2076840.47</v>
      </c>
      <c r="Q57" s="98">
        <f t="shared" si="70"/>
        <v>2085429.48</v>
      </c>
      <c r="R57" s="98">
        <f>SUM(R51:R55)</f>
        <v>8292578.4100000001</v>
      </c>
      <c r="S57" s="98">
        <f t="shared" si="70"/>
        <v>4130308.46</v>
      </c>
      <c r="T57" s="98">
        <f t="shared" si="70"/>
        <v>2076840.47</v>
      </c>
      <c r="U57" s="98">
        <f t="shared" si="70"/>
        <v>2085429.48</v>
      </c>
      <c r="V57" s="98">
        <f t="shared" si="70"/>
        <v>8292578.4100000001</v>
      </c>
      <c r="W57" s="98">
        <f t="shared" si="70"/>
        <v>14043140.190000001</v>
      </c>
      <c r="X57" s="98">
        <f t="shared" si="70"/>
        <v>29609750.510000002</v>
      </c>
      <c r="Y57" s="98">
        <f t="shared" si="70"/>
        <v>28115717</v>
      </c>
      <c r="Z57" s="98">
        <f t="shared" si="70"/>
        <v>71768607.699999988</v>
      </c>
      <c r="AA57" s="98">
        <f t="shared" si="70"/>
        <v>13232767.599999998</v>
      </c>
      <c r="AB57" s="98">
        <f t="shared" si="70"/>
        <v>28928612.640000001</v>
      </c>
      <c r="AC57" s="98">
        <f t="shared" si="70"/>
        <v>27442983.199999999</v>
      </c>
      <c r="AD57" s="98">
        <f t="shared" si="70"/>
        <v>69604363.439999998</v>
      </c>
      <c r="AE57" s="98">
        <f t="shared" si="70"/>
        <v>13232767.599999998</v>
      </c>
      <c r="AF57" s="98">
        <f t="shared" si="70"/>
        <v>28928612.640000001</v>
      </c>
      <c r="AG57" s="98">
        <f t="shared" si="70"/>
        <v>27442983.199999999</v>
      </c>
      <c r="AH57" s="98">
        <f t="shared" si="70"/>
        <v>69604363.439999998</v>
      </c>
      <c r="AI57" s="98">
        <f t="shared" si="70"/>
        <v>13232767.599999998</v>
      </c>
      <c r="AJ57" s="98">
        <f t="shared" si="70"/>
        <v>28928612.640000001</v>
      </c>
      <c r="AK57" s="98">
        <f t="shared" si="70"/>
        <v>27442983.199999999</v>
      </c>
      <c r="AL57" s="98">
        <f t="shared" si="70"/>
        <v>69604363.439999998</v>
      </c>
      <c r="AM57" s="98">
        <f t="shared" si="70"/>
        <v>12430295.560000002</v>
      </c>
      <c r="AN57" s="98">
        <f t="shared" si="70"/>
        <v>28377909.409999996</v>
      </c>
      <c r="AO57" s="98">
        <f t="shared" si="70"/>
        <v>27219277.889999997</v>
      </c>
      <c r="AP57" s="98">
        <f t="shared" si="70"/>
        <v>68027482.859999999</v>
      </c>
      <c r="AQ57" s="98">
        <f t="shared" si="70"/>
        <v>810372.58999999962</v>
      </c>
      <c r="AR57" s="98">
        <f t="shared" si="70"/>
        <v>681137.87000000128</v>
      </c>
      <c r="AS57" s="98">
        <f t="shared" si="70"/>
        <v>672733.80000000028</v>
      </c>
      <c r="AT57" s="98">
        <f t="shared" si="70"/>
        <v>2164244.2600000012</v>
      </c>
    </row>
    <row r="58" spans="1:53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85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</row>
    <row r="59" spans="1:53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>
        <f>K57-G57</f>
        <v>2024421.8099999996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85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</row>
    <row r="60" spans="1:53" s="26" customFormat="1" ht="14.25" thickBot="1">
      <c r="A60" s="180"/>
      <c r="B60" s="18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52"/>
      <c r="P60" s="52"/>
      <c r="Q60" s="52"/>
      <c r="R60" s="52"/>
      <c r="S60" s="52"/>
      <c r="T60" s="52"/>
      <c r="U60" s="52"/>
      <c r="V60" s="52"/>
      <c r="W60" s="27"/>
      <c r="X60" s="27"/>
      <c r="Y60" s="27"/>
      <c r="Z60" s="27"/>
      <c r="AA60" s="27"/>
      <c r="AB60" s="27"/>
      <c r="AC60" s="33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 ht="14.25" thickBot="1">
      <c r="A61" s="181" t="s">
        <v>14</v>
      </c>
      <c r="B61" s="176" t="s">
        <v>15</v>
      </c>
      <c r="C61" s="177" t="s">
        <v>19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9"/>
    </row>
    <row r="62" spans="1:53" ht="12.75" customHeight="1" thickBot="1">
      <c r="A62" s="181"/>
      <c r="B62" s="176"/>
      <c r="C62" s="167" t="s">
        <v>13</v>
      </c>
      <c r="D62" s="168"/>
      <c r="E62" s="168"/>
      <c r="F62" s="169"/>
      <c r="G62" s="173" t="s">
        <v>38</v>
      </c>
      <c r="H62" s="174"/>
      <c r="I62" s="174"/>
      <c r="J62" s="174"/>
      <c r="K62" s="174" t="s">
        <v>5</v>
      </c>
      <c r="L62" s="174"/>
      <c r="M62" s="174"/>
      <c r="N62" s="175"/>
      <c r="O62" s="173" t="s">
        <v>39</v>
      </c>
      <c r="P62" s="174"/>
      <c r="Q62" s="174"/>
      <c r="R62" s="174"/>
      <c r="S62" s="174" t="s">
        <v>5</v>
      </c>
      <c r="T62" s="174"/>
      <c r="U62" s="174"/>
      <c r="V62" s="175"/>
      <c r="W62" s="167" t="s">
        <v>17</v>
      </c>
      <c r="X62" s="168"/>
      <c r="Y62" s="168"/>
      <c r="Z62" s="169"/>
      <c r="AA62" s="167" t="s">
        <v>12</v>
      </c>
      <c r="AB62" s="168"/>
      <c r="AC62" s="168"/>
      <c r="AD62" s="169"/>
      <c r="AE62" s="167" t="s">
        <v>7</v>
      </c>
      <c r="AF62" s="168"/>
      <c r="AG62" s="168"/>
      <c r="AH62" s="169"/>
      <c r="AI62" s="167" t="s">
        <v>1</v>
      </c>
      <c r="AJ62" s="168"/>
      <c r="AK62" s="168"/>
      <c r="AL62" s="169"/>
      <c r="AM62" s="167" t="s">
        <v>11</v>
      </c>
      <c r="AN62" s="168"/>
      <c r="AO62" s="168"/>
      <c r="AP62" s="169"/>
      <c r="AQ62" s="167" t="s">
        <v>29</v>
      </c>
      <c r="AR62" s="168"/>
      <c r="AS62" s="168"/>
      <c r="AT62" s="169"/>
    </row>
    <row r="63" spans="1:53" ht="12.75" customHeight="1" thickBot="1">
      <c r="A63" s="181"/>
      <c r="B63" s="176"/>
      <c r="C63" s="170"/>
      <c r="D63" s="171"/>
      <c r="E63" s="171"/>
      <c r="F63" s="172"/>
      <c r="G63" s="173" t="s">
        <v>4</v>
      </c>
      <c r="H63" s="174"/>
      <c r="I63" s="174"/>
      <c r="J63" s="175"/>
      <c r="K63" s="173" t="s">
        <v>5</v>
      </c>
      <c r="L63" s="174"/>
      <c r="M63" s="174"/>
      <c r="N63" s="175"/>
      <c r="O63" s="173" t="s">
        <v>4</v>
      </c>
      <c r="P63" s="174"/>
      <c r="Q63" s="174"/>
      <c r="R63" s="175"/>
      <c r="S63" s="173" t="s">
        <v>5</v>
      </c>
      <c r="T63" s="174"/>
      <c r="U63" s="174"/>
      <c r="V63" s="175"/>
      <c r="W63" s="170"/>
      <c r="X63" s="171"/>
      <c r="Y63" s="171"/>
      <c r="Z63" s="172"/>
      <c r="AA63" s="170"/>
      <c r="AB63" s="171"/>
      <c r="AC63" s="171"/>
      <c r="AD63" s="172"/>
      <c r="AE63" s="170"/>
      <c r="AF63" s="171"/>
      <c r="AG63" s="171"/>
      <c r="AH63" s="172"/>
      <c r="AI63" s="170"/>
      <c r="AJ63" s="171"/>
      <c r="AK63" s="171"/>
      <c r="AL63" s="172"/>
      <c r="AM63" s="170"/>
      <c r="AN63" s="171"/>
      <c r="AO63" s="171"/>
      <c r="AP63" s="172"/>
      <c r="AQ63" s="170"/>
      <c r="AR63" s="171"/>
      <c r="AS63" s="171"/>
      <c r="AT63" s="172"/>
    </row>
    <row r="64" spans="1:53" ht="31.5" customHeight="1" thickBot="1">
      <c r="A64" s="181"/>
      <c r="B64" s="176"/>
      <c r="C64" s="8" t="s">
        <v>16</v>
      </c>
      <c r="D64" s="8" t="s">
        <v>70</v>
      </c>
      <c r="E64" s="8" t="s">
        <v>71</v>
      </c>
      <c r="F64" s="8" t="s">
        <v>0</v>
      </c>
      <c r="G64" s="8" t="s">
        <v>16</v>
      </c>
      <c r="H64" s="8" t="s">
        <v>70</v>
      </c>
      <c r="I64" s="8" t="s">
        <v>71</v>
      </c>
      <c r="J64" s="8" t="s">
        <v>0</v>
      </c>
      <c r="K64" s="8" t="s">
        <v>16</v>
      </c>
      <c r="L64" s="8" t="s">
        <v>70</v>
      </c>
      <c r="M64" s="8" t="s">
        <v>71</v>
      </c>
      <c r="N64" s="8" t="s">
        <v>0</v>
      </c>
      <c r="O64" s="8" t="s">
        <v>16</v>
      </c>
      <c r="P64" s="8" t="s">
        <v>70</v>
      </c>
      <c r="Q64" s="8" t="s">
        <v>71</v>
      </c>
      <c r="R64" s="8" t="s">
        <v>0</v>
      </c>
      <c r="S64" s="8" t="s">
        <v>16</v>
      </c>
      <c r="T64" s="8" t="s">
        <v>70</v>
      </c>
      <c r="U64" s="8" t="s">
        <v>71</v>
      </c>
      <c r="V64" s="8" t="s">
        <v>0</v>
      </c>
      <c r="W64" s="8" t="s">
        <v>16</v>
      </c>
      <c r="X64" s="8" t="s">
        <v>70</v>
      </c>
      <c r="Y64" s="8" t="s">
        <v>71</v>
      </c>
      <c r="Z64" s="8" t="s">
        <v>0</v>
      </c>
      <c r="AA64" s="8" t="s">
        <v>16</v>
      </c>
      <c r="AB64" s="8" t="s">
        <v>70</v>
      </c>
      <c r="AC64" s="8" t="s">
        <v>71</v>
      </c>
      <c r="AD64" s="8" t="s">
        <v>0</v>
      </c>
      <c r="AE64" s="8" t="s">
        <v>16</v>
      </c>
      <c r="AF64" s="8" t="s">
        <v>70</v>
      </c>
      <c r="AG64" s="8" t="s">
        <v>71</v>
      </c>
      <c r="AH64" s="8" t="s">
        <v>0</v>
      </c>
      <c r="AI64" s="8" t="s">
        <v>16</v>
      </c>
      <c r="AJ64" s="8" t="s">
        <v>70</v>
      </c>
      <c r="AK64" s="8" t="s">
        <v>71</v>
      </c>
      <c r="AL64" s="8" t="s">
        <v>0</v>
      </c>
      <c r="AM64" s="8" t="s">
        <v>16</v>
      </c>
      <c r="AN64" s="8" t="s">
        <v>70</v>
      </c>
      <c r="AO64" s="8" t="s">
        <v>71</v>
      </c>
      <c r="AP64" s="8" t="s">
        <v>0</v>
      </c>
      <c r="AQ64" s="8" t="s">
        <v>16</v>
      </c>
      <c r="AR64" s="8" t="s">
        <v>70</v>
      </c>
      <c r="AS64" s="8" t="s">
        <v>71</v>
      </c>
      <c r="AT64" s="8" t="s">
        <v>0</v>
      </c>
    </row>
    <row r="65" spans="1:46" s="88" customFormat="1" ht="26.25" customHeight="1">
      <c r="A65" s="86">
        <v>1</v>
      </c>
      <c r="B65" s="87" t="s">
        <v>40</v>
      </c>
      <c r="C65" s="112">
        <v>0</v>
      </c>
      <c r="D65" s="112">
        <v>0</v>
      </c>
      <c r="E65" s="112">
        <v>0</v>
      </c>
      <c r="F65" s="113">
        <v>0</v>
      </c>
      <c r="G65" s="112">
        <v>0</v>
      </c>
      <c r="H65" s="112">
        <v>0</v>
      </c>
      <c r="I65" s="112">
        <v>36000</v>
      </c>
      <c r="J65" s="113">
        <f t="shared" ref="J65:J71" si="71">SUM(G65:I65)</f>
        <v>36000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f>C65+G65-K65+O65-S65</f>
        <v>0</v>
      </c>
      <c r="X65" s="112">
        <f>D65+H65-L65+P65-T65</f>
        <v>0</v>
      </c>
      <c r="Y65" s="112">
        <f>E65+I65-M65+Q65-U65</f>
        <v>36000</v>
      </c>
      <c r="Z65" s="113">
        <f t="shared" ref="Z65:Z71" si="72">SUM(W65:Y65)</f>
        <v>36000</v>
      </c>
      <c r="AA65" s="112">
        <v>0</v>
      </c>
      <c r="AB65" s="112">
        <v>0</v>
      </c>
      <c r="AC65" s="112">
        <v>36000</v>
      </c>
      <c r="AD65" s="113">
        <f t="shared" ref="AD65:AD71" si="73">SUM(AA65:AC65)</f>
        <v>36000</v>
      </c>
      <c r="AE65" s="112">
        <v>0</v>
      </c>
      <c r="AF65" s="112">
        <v>0</v>
      </c>
      <c r="AG65" s="112">
        <v>36000</v>
      </c>
      <c r="AH65" s="113">
        <f t="shared" ref="AH65:AH71" si="74">SUM(AE65:AG65)</f>
        <v>36000</v>
      </c>
      <c r="AI65" s="112">
        <v>0</v>
      </c>
      <c r="AJ65" s="112">
        <v>0</v>
      </c>
      <c r="AK65" s="112">
        <v>36000</v>
      </c>
      <c r="AL65" s="113">
        <f t="shared" ref="AL65:AL71" si="75">SUM(AI65:AK65)</f>
        <v>36000</v>
      </c>
      <c r="AM65" s="112">
        <v>0</v>
      </c>
      <c r="AN65" s="112">
        <v>0</v>
      </c>
      <c r="AO65" s="112">
        <v>36000</v>
      </c>
      <c r="AP65" s="113">
        <f t="shared" ref="AP65:AP71" si="76">SUM(AM65:AO65)</f>
        <v>36000</v>
      </c>
      <c r="AQ65" s="112">
        <f>W65-AM65</f>
        <v>0</v>
      </c>
      <c r="AR65" s="112">
        <f t="shared" ref="AR65:AS71" si="77">X65-AN65</f>
        <v>0</v>
      </c>
      <c r="AS65" s="112">
        <f t="shared" si="77"/>
        <v>0</v>
      </c>
      <c r="AT65" s="113">
        <f>SUM(AQ65:AS65)</f>
        <v>0</v>
      </c>
    </row>
    <row r="66" spans="1:46" s="88" customFormat="1" ht="26.25" customHeight="1">
      <c r="A66" s="86">
        <v>2</v>
      </c>
      <c r="B66" s="87" t="s">
        <v>47</v>
      </c>
      <c r="C66" s="112">
        <v>0</v>
      </c>
      <c r="D66" s="112">
        <v>0</v>
      </c>
      <c r="E66" s="112">
        <v>0</v>
      </c>
      <c r="F66" s="113">
        <v>0</v>
      </c>
      <c r="G66" s="112">
        <v>0</v>
      </c>
      <c r="H66" s="112">
        <v>0</v>
      </c>
      <c r="I66" s="112">
        <v>0.78</v>
      </c>
      <c r="J66" s="113">
        <f t="shared" si="71"/>
        <v>0.78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f t="shared" ref="W66:W73" si="78">C66+G66-K66+O66-S66</f>
        <v>0</v>
      </c>
      <c r="X66" s="112">
        <f t="shared" ref="X66:X73" si="79">D66+H66-L66+P66-T66</f>
        <v>0</v>
      </c>
      <c r="Y66" s="112">
        <f t="shared" ref="Y66:Y73" si="80">E66+I66-M66+Q66-U66</f>
        <v>0.78</v>
      </c>
      <c r="Z66" s="113">
        <f t="shared" si="72"/>
        <v>0.78</v>
      </c>
      <c r="AA66" s="112">
        <v>0</v>
      </c>
      <c r="AB66" s="112">
        <v>0</v>
      </c>
      <c r="AC66" s="112">
        <v>0</v>
      </c>
      <c r="AD66" s="113">
        <f t="shared" si="73"/>
        <v>0</v>
      </c>
      <c r="AE66" s="112">
        <v>0</v>
      </c>
      <c r="AF66" s="112">
        <v>0</v>
      </c>
      <c r="AG66" s="112">
        <v>0</v>
      </c>
      <c r="AH66" s="113">
        <f t="shared" si="74"/>
        <v>0</v>
      </c>
      <c r="AI66" s="112">
        <v>0</v>
      </c>
      <c r="AJ66" s="112">
        <v>0</v>
      </c>
      <c r="AK66" s="112">
        <v>0</v>
      </c>
      <c r="AL66" s="113">
        <f t="shared" si="75"/>
        <v>0</v>
      </c>
      <c r="AM66" s="112">
        <v>0</v>
      </c>
      <c r="AN66" s="112">
        <v>0</v>
      </c>
      <c r="AO66" s="112">
        <v>0</v>
      </c>
      <c r="AP66" s="113">
        <f t="shared" si="76"/>
        <v>0</v>
      </c>
      <c r="AQ66" s="112">
        <f t="shared" ref="AQ66:AQ71" si="81">W66-AM66</f>
        <v>0</v>
      </c>
      <c r="AR66" s="112">
        <f t="shared" si="77"/>
        <v>0</v>
      </c>
      <c r="AS66" s="112">
        <f t="shared" si="77"/>
        <v>0.78</v>
      </c>
      <c r="AT66" s="113">
        <f t="shared" ref="AT66:AT71" si="82">SUM(AQ66:AS66)</f>
        <v>0.78</v>
      </c>
    </row>
    <row r="67" spans="1:46" s="88" customFormat="1" ht="26.25" customHeight="1">
      <c r="A67" s="86">
        <v>3</v>
      </c>
      <c r="B67" s="87" t="s">
        <v>48</v>
      </c>
      <c r="C67" s="112">
        <v>0</v>
      </c>
      <c r="D67" s="112">
        <v>0</v>
      </c>
      <c r="E67" s="112">
        <v>0</v>
      </c>
      <c r="F67" s="113">
        <v>0</v>
      </c>
      <c r="G67" s="112">
        <v>0</v>
      </c>
      <c r="H67" s="112">
        <v>0</v>
      </c>
      <c r="I67" s="112">
        <f>120000+I30</f>
        <v>146000</v>
      </c>
      <c r="J67" s="113">
        <f t="shared" si="71"/>
        <v>146000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f t="shared" si="78"/>
        <v>0</v>
      </c>
      <c r="X67" s="112">
        <f t="shared" si="79"/>
        <v>0</v>
      </c>
      <c r="Y67" s="112">
        <f t="shared" si="80"/>
        <v>146000</v>
      </c>
      <c r="Z67" s="113">
        <f t="shared" si="72"/>
        <v>146000</v>
      </c>
      <c r="AA67" s="112">
        <v>0</v>
      </c>
      <c r="AB67" s="112">
        <v>0</v>
      </c>
      <c r="AC67" s="112">
        <f>120000+AC30</f>
        <v>134000</v>
      </c>
      <c r="AD67" s="113">
        <f t="shared" si="73"/>
        <v>134000</v>
      </c>
      <c r="AE67" s="112">
        <v>0</v>
      </c>
      <c r="AF67" s="112">
        <v>0</v>
      </c>
      <c r="AG67" s="112">
        <f>120000+AG30</f>
        <v>134000</v>
      </c>
      <c r="AH67" s="113">
        <f t="shared" si="74"/>
        <v>134000</v>
      </c>
      <c r="AI67" s="112">
        <v>0</v>
      </c>
      <c r="AJ67" s="112">
        <v>0</v>
      </c>
      <c r="AK67" s="112">
        <f>120000+AK30</f>
        <v>134000</v>
      </c>
      <c r="AL67" s="113">
        <f t="shared" si="75"/>
        <v>134000</v>
      </c>
      <c r="AM67" s="112">
        <v>0</v>
      </c>
      <c r="AN67" s="112">
        <v>0</v>
      </c>
      <c r="AO67" s="112">
        <f>120000+AO30</f>
        <v>134000</v>
      </c>
      <c r="AP67" s="113">
        <f t="shared" si="76"/>
        <v>134000</v>
      </c>
      <c r="AQ67" s="112">
        <f t="shared" si="81"/>
        <v>0</v>
      </c>
      <c r="AR67" s="112">
        <f t="shared" si="77"/>
        <v>0</v>
      </c>
      <c r="AS67" s="112">
        <f>Y67-AO67</f>
        <v>12000</v>
      </c>
      <c r="AT67" s="113">
        <f t="shared" si="82"/>
        <v>12000</v>
      </c>
    </row>
    <row r="68" spans="1:46" s="88" customFormat="1" ht="26.25" customHeight="1">
      <c r="A68" s="86">
        <v>4</v>
      </c>
      <c r="B68" s="87" t="s">
        <v>49</v>
      </c>
      <c r="C68" s="112">
        <v>0</v>
      </c>
      <c r="D68" s="112">
        <v>0</v>
      </c>
      <c r="E68" s="112">
        <v>0</v>
      </c>
      <c r="F68" s="113">
        <v>0</v>
      </c>
      <c r="G68" s="112">
        <v>0</v>
      </c>
      <c r="H68" s="112">
        <v>0</v>
      </c>
      <c r="I68" s="114">
        <v>70159.75</v>
      </c>
      <c r="J68" s="113">
        <f t="shared" si="71"/>
        <v>70159.75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f t="shared" si="78"/>
        <v>0</v>
      </c>
      <c r="X68" s="112">
        <f t="shared" si="79"/>
        <v>0</v>
      </c>
      <c r="Y68" s="112">
        <f t="shared" si="80"/>
        <v>70159.75</v>
      </c>
      <c r="Z68" s="113">
        <f t="shared" si="72"/>
        <v>70159.75</v>
      </c>
      <c r="AA68" s="112">
        <v>0</v>
      </c>
      <c r="AB68" s="112">
        <v>0</v>
      </c>
      <c r="AC68" s="112">
        <v>0</v>
      </c>
      <c r="AD68" s="113">
        <f t="shared" si="73"/>
        <v>0</v>
      </c>
      <c r="AE68" s="112">
        <v>0</v>
      </c>
      <c r="AF68" s="112">
        <v>0</v>
      </c>
      <c r="AG68" s="112">
        <v>0</v>
      </c>
      <c r="AH68" s="113">
        <f t="shared" si="74"/>
        <v>0</v>
      </c>
      <c r="AI68" s="112">
        <v>0</v>
      </c>
      <c r="AJ68" s="112">
        <v>0</v>
      </c>
      <c r="AK68" s="112">
        <v>0</v>
      </c>
      <c r="AL68" s="113">
        <f t="shared" si="75"/>
        <v>0</v>
      </c>
      <c r="AM68" s="112">
        <v>0</v>
      </c>
      <c r="AN68" s="112">
        <v>0</v>
      </c>
      <c r="AO68" s="112">
        <v>0</v>
      </c>
      <c r="AP68" s="113">
        <f t="shared" si="76"/>
        <v>0</v>
      </c>
      <c r="AQ68" s="112">
        <f t="shared" si="81"/>
        <v>0</v>
      </c>
      <c r="AR68" s="112">
        <f t="shared" si="77"/>
        <v>0</v>
      </c>
      <c r="AS68" s="112">
        <f t="shared" si="77"/>
        <v>70159.75</v>
      </c>
      <c r="AT68" s="113">
        <f t="shared" si="82"/>
        <v>70159.75</v>
      </c>
    </row>
    <row r="69" spans="1:46" s="88" customFormat="1" ht="26.25" customHeight="1">
      <c r="A69" s="86">
        <v>5</v>
      </c>
      <c r="B69" s="87" t="s">
        <v>50</v>
      </c>
      <c r="C69" s="112">
        <v>0</v>
      </c>
      <c r="D69" s="112">
        <v>0</v>
      </c>
      <c r="E69" s="112">
        <v>0</v>
      </c>
      <c r="F69" s="113">
        <v>0</v>
      </c>
      <c r="G69" s="112">
        <v>0</v>
      </c>
      <c r="H69" s="112">
        <v>0</v>
      </c>
      <c r="I69" s="112">
        <v>118021.99</v>
      </c>
      <c r="J69" s="113">
        <f t="shared" si="71"/>
        <v>118021.99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f t="shared" si="78"/>
        <v>0</v>
      </c>
      <c r="X69" s="112">
        <f t="shared" si="79"/>
        <v>0</v>
      </c>
      <c r="Y69" s="112">
        <f t="shared" si="80"/>
        <v>118021.99</v>
      </c>
      <c r="Z69" s="113">
        <f t="shared" si="72"/>
        <v>118021.99</v>
      </c>
      <c r="AA69" s="112">
        <v>0</v>
      </c>
      <c r="AB69" s="112">
        <v>0</v>
      </c>
      <c r="AC69" s="112">
        <v>0</v>
      </c>
      <c r="AD69" s="113">
        <f t="shared" si="73"/>
        <v>0</v>
      </c>
      <c r="AE69" s="112">
        <v>0</v>
      </c>
      <c r="AF69" s="112">
        <v>0</v>
      </c>
      <c r="AG69" s="112">
        <v>0</v>
      </c>
      <c r="AH69" s="113">
        <f t="shared" si="74"/>
        <v>0</v>
      </c>
      <c r="AI69" s="112">
        <v>0</v>
      </c>
      <c r="AJ69" s="112">
        <v>0</v>
      </c>
      <c r="AK69" s="112">
        <v>0</v>
      </c>
      <c r="AL69" s="113">
        <f t="shared" si="75"/>
        <v>0</v>
      </c>
      <c r="AM69" s="112">
        <v>0</v>
      </c>
      <c r="AN69" s="112">
        <v>0</v>
      </c>
      <c r="AO69" s="112">
        <v>0</v>
      </c>
      <c r="AP69" s="113">
        <f t="shared" si="76"/>
        <v>0</v>
      </c>
      <c r="AQ69" s="112">
        <f t="shared" si="81"/>
        <v>0</v>
      </c>
      <c r="AR69" s="112">
        <f t="shared" si="77"/>
        <v>0</v>
      </c>
      <c r="AS69" s="112">
        <f t="shared" si="77"/>
        <v>118021.99</v>
      </c>
      <c r="AT69" s="113">
        <f t="shared" si="82"/>
        <v>118021.99</v>
      </c>
    </row>
    <row r="70" spans="1:46" s="88" customFormat="1" ht="26.25" customHeight="1">
      <c r="A70" s="86">
        <v>6</v>
      </c>
      <c r="B70" s="87" t="s">
        <v>51</v>
      </c>
      <c r="C70" s="112">
        <v>0</v>
      </c>
      <c r="D70" s="112">
        <v>0</v>
      </c>
      <c r="E70" s="112">
        <v>0</v>
      </c>
      <c r="F70" s="113">
        <v>0</v>
      </c>
      <c r="G70" s="112">
        <v>0</v>
      </c>
      <c r="H70" s="112">
        <v>0</v>
      </c>
      <c r="I70" s="112">
        <f>I33+61500</f>
        <v>61500</v>
      </c>
      <c r="J70" s="113">
        <f t="shared" si="71"/>
        <v>61500</v>
      </c>
      <c r="K70" s="112">
        <v>0</v>
      </c>
      <c r="L70" s="112">
        <v>0</v>
      </c>
      <c r="M70" s="84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f t="shared" si="78"/>
        <v>0</v>
      </c>
      <c r="X70" s="112">
        <f t="shared" si="79"/>
        <v>0</v>
      </c>
      <c r="Y70" s="112">
        <f>E70+I70-M70+Q70-U70</f>
        <v>61500</v>
      </c>
      <c r="Z70" s="113">
        <f t="shared" si="72"/>
        <v>61500</v>
      </c>
      <c r="AA70" s="112">
        <v>0</v>
      </c>
      <c r="AB70" s="112">
        <v>0</v>
      </c>
      <c r="AC70" s="112">
        <f>28461.79+AC33</f>
        <v>61500</v>
      </c>
      <c r="AD70" s="113">
        <f t="shared" si="73"/>
        <v>61500</v>
      </c>
      <c r="AE70" s="112">
        <v>0</v>
      </c>
      <c r="AF70" s="112">
        <v>0</v>
      </c>
      <c r="AG70" s="112">
        <f>28461.79+AG33</f>
        <v>61500</v>
      </c>
      <c r="AH70" s="113">
        <f t="shared" si="74"/>
        <v>61500</v>
      </c>
      <c r="AI70" s="112">
        <v>0</v>
      </c>
      <c r="AJ70" s="112">
        <v>0</v>
      </c>
      <c r="AK70" s="112">
        <f>28461.79+AK33</f>
        <v>61500</v>
      </c>
      <c r="AL70" s="113">
        <f t="shared" si="75"/>
        <v>61500</v>
      </c>
      <c r="AM70" s="112">
        <v>0</v>
      </c>
      <c r="AN70" s="112">
        <v>0</v>
      </c>
      <c r="AO70" s="112">
        <f>28461.79+AO33</f>
        <v>61500</v>
      </c>
      <c r="AP70" s="113">
        <f t="shared" si="76"/>
        <v>61500</v>
      </c>
      <c r="AQ70" s="112">
        <f t="shared" si="81"/>
        <v>0</v>
      </c>
      <c r="AR70" s="112">
        <f t="shared" si="77"/>
        <v>0</v>
      </c>
      <c r="AS70" s="112">
        <f t="shared" si="77"/>
        <v>0</v>
      </c>
      <c r="AT70" s="113">
        <f t="shared" si="82"/>
        <v>0</v>
      </c>
    </row>
    <row r="71" spans="1:46" s="88" customFormat="1" ht="26.25" customHeight="1">
      <c r="A71" s="86">
        <v>7</v>
      </c>
      <c r="B71" s="87" t="s">
        <v>52</v>
      </c>
      <c r="C71" s="112">
        <v>0</v>
      </c>
      <c r="D71" s="112">
        <v>0</v>
      </c>
      <c r="E71" s="112">
        <v>0</v>
      </c>
      <c r="F71" s="113">
        <v>0</v>
      </c>
      <c r="G71" s="112">
        <v>0</v>
      </c>
      <c r="H71" s="112">
        <v>0</v>
      </c>
      <c r="I71" s="112">
        <v>634400</v>
      </c>
      <c r="J71" s="113">
        <f t="shared" si="71"/>
        <v>634400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f t="shared" si="78"/>
        <v>0</v>
      </c>
      <c r="X71" s="112">
        <f t="shared" si="79"/>
        <v>0</v>
      </c>
      <c r="Y71" s="112">
        <f t="shared" si="80"/>
        <v>634400</v>
      </c>
      <c r="Z71" s="113">
        <f t="shared" si="72"/>
        <v>634400</v>
      </c>
      <c r="AA71" s="112">
        <v>0</v>
      </c>
      <c r="AB71" s="112">
        <v>0</v>
      </c>
      <c r="AC71" s="112">
        <v>634399.94999999995</v>
      </c>
      <c r="AD71" s="113">
        <f t="shared" si="73"/>
        <v>634399.94999999995</v>
      </c>
      <c r="AE71" s="112">
        <v>0</v>
      </c>
      <c r="AF71" s="112">
        <v>0</v>
      </c>
      <c r="AG71" s="112">
        <v>634399.94999999995</v>
      </c>
      <c r="AH71" s="113">
        <f t="shared" si="74"/>
        <v>634399.94999999995</v>
      </c>
      <c r="AI71" s="112">
        <v>0</v>
      </c>
      <c r="AJ71" s="112">
        <v>0</v>
      </c>
      <c r="AK71" s="112">
        <v>634399.94999999995</v>
      </c>
      <c r="AL71" s="113">
        <f t="shared" si="75"/>
        <v>634399.94999999995</v>
      </c>
      <c r="AM71" s="112">
        <v>0</v>
      </c>
      <c r="AN71" s="112">
        <v>0</v>
      </c>
      <c r="AO71" s="112">
        <v>634399.94999999995</v>
      </c>
      <c r="AP71" s="113">
        <f t="shared" si="76"/>
        <v>634399.94999999995</v>
      </c>
      <c r="AQ71" s="112">
        <f t="shared" si="81"/>
        <v>0</v>
      </c>
      <c r="AR71" s="112">
        <f t="shared" si="77"/>
        <v>0</v>
      </c>
      <c r="AS71" s="112">
        <f t="shared" si="77"/>
        <v>5.0000000046566129E-2</v>
      </c>
      <c r="AT71" s="113">
        <f t="shared" si="82"/>
        <v>5.0000000046566129E-2</v>
      </c>
    </row>
    <row r="72" spans="1:46" s="88" customFormat="1" ht="26.25" customHeight="1">
      <c r="A72" s="86">
        <v>10</v>
      </c>
      <c r="B72" s="87" t="s">
        <v>61</v>
      </c>
      <c r="C72" s="84">
        <v>0</v>
      </c>
      <c r="D72" s="84">
        <v>0</v>
      </c>
      <c r="E72" s="84">
        <v>0</v>
      </c>
      <c r="F72" s="83">
        <v>0</v>
      </c>
      <c r="G72" s="84">
        <v>69623.91</v>
      </c>
      <c r="H72" s="84">
        <v>0</v>
      </c>
      <c r="I72" s="84">
        <v>0</v>
      </c>
      <c r="J72" s="83">
        <f t="shared" ref="J72:J73" si="83">SUM(G72:I72)</f>
        <v>69623.91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112">
        <f t="shared" si="78"/>
        <v>69623.91</v>
      </c>
      <c r="X72" s="112">
        <f t="shared" si="79"/>
        <v>0</v>
      </c>
      <c r="Y72" s="112">
        <f t="shared" si="80"/>
        <v>0</v>
      </c>
      <c r="Z72" s="83">
        <f t="shared" ref="Z72:Z73" si="84">SUM(W72:Y72)</f>
        <v>69623.91</v>
      </c>
      <c r="AA72" s="84">
        <v>69623.91</v>
      </c>
      <c r="AB72" s="84">
        <v>0</v>
      </c>
      <c r="AC72" s="84">
        <v>0</v>
      </c>
      <c r="AD72" s="83">
        <f t="shared" ref="AD72:AD73" si="85">SUM(AA72:AC72)</f>
        <v>69623.91</v>
      </c>
      <c r="AE72" s="84">
        <v>69623.91</v>
      </c>
      <c r="AF72" s="84">
        <v>0</v>
      </c>
      <c r="AG72" s="84">
        <v>0</v>
      </c>
      <c r="AH72" s="83">
        <f t="shared" ref="AH72:AH73" si="86">SUM(AE72:AG72)</f>
        <v>69623.91</v>
      </c>
      <c r="AI72" s="84">
        <v>69623.91</v>
      </c>
      <c r="AJ72" s="84">
        <v>0</v>
      </c>
      <c r="AK72" s="84">
        <v>0</v>
      </c>
      <c r="AL72" s="83">
        <f t="shared" ref="AL72:AL73" si="87">SUM(AI72:AK72)</f>
        <v>69623.91</v>
      </c>
      <c r="AM72" s="84">
        <v>69623.91</v>
      </c>
      <c r="AN72" s="84">
        <v>0</v>
      </c>
      <c r="AO72" s="84">
        <v>0</v>
      </c>
      <c r="AP72" s="83">
        <f t="shared" ref="AP72:AP73" si="88">SUM(AM72:AO72)</f>
        <v>69623.91</v>
      </c>
      <c r="AQ72" s="84">
        <f t="shared" ref="AQ72:AQ76" si="89">W72-AM72</f>
        <v>0</v>
      </c>
      <c r="AR72" s="84">
        <f t="shared" ref="AR72:AR77" si="90">X72-AN72</f>
        <v>0</v>
      </c>
      <c r="AS72" s="84">
        <f t="shared" ref="AS72:AS73" si="91">Y72-AO72</f>
        <v>0</v>
      </c>
      <c r="AT72" s="83">
        <f t="shared" ref="AT72:AT73" si="92">SUM(AQ72:AS72)</f>
        <v>0</v>
      </c>
    </row>
    <row r="73" spans="1:46" s="88" customFormat="1" ht="26.25" customHeight="1">
      <c r="A73" s="86">
        <v>11</v>
      </c>
      <c r="B73" s="87" t="s">
        <v>64</v>
      </c>
      <c r="C73" s="84">
        <v>0</v>
      </c>
      <c r="D73" s="84">
        <v>0</v>
      </c>
      <c r="E73" s="84">
        <v>0</v>
      </c>
      <c r="F73" s="83">
        <v>0</v>
      </c>
      <c r="G73" s="84">
        <v>0</v>
      </c>
      <c r="H73" s="84">
        <v>0</v>
      </c>
      <c r="I73" s="84">
        <f>+I36</f>
        <v>1120160</v>
      </c>
      <c r="J73" s="83">
        <f t="shared" si="83"/>
        <v>1120160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112">
        <f t="shared" si="78"/>
        <v>0</v>
      </c>
      <c r="X73" s="112">
        <f t="shared" si="79"/>
        <v>0</v>
      </c>
      <c r="Y73" s="112">
        <f t="shared" si="80"/>
        <v>1120160</v>
      </c>
      <c r="Z73" s="83">
        <f t="shared" si="84"/>
        <v>1120160</v>
      </c>
      <c r="AA73" s="84">
        <v>0</v>
      </c>
      <c r="AB73" s="84">
        <v>0</v>
      </c>
      <c r="AC73" s="84">
        <v>0</v>
      </c>
      <c r="AD73" s="83">
        <f t="shared" si="85"/>
        <v>0</v>
      </c>
      <c r="AE73" s="84">
        <v>0</v>
      </c>
      <c r="AF73" s="84">
        <v>0</v>
      </c>
      <c r="AG73" s="84">
        <v>0</v>
      </c>
      <c r="AH73" s="83">
        <f t="shared" si="86"/>
        <v>0</v>
      </c>
      <c r="AI73" s="84">
        <v>0</v>
      </c>
      <c r="AJ73" s="84">
        <v>0</v>
      </c>
      <c r="AK73" s="84">
        <v>0</v>
      </c>
      <c r="AL73" s="83">
        <f t="shared" si="87"/>
        <v>0</v>
      </c>
      <c r="AM73" s="84">
        <v>0</v>
      </c>
      <c r="AN73" s="84">
        <v>1879.7</v>
      </c>
      <c r="AO73" s="84">
        <v>0</v>
      </c>
      <c r="AP73" s="83">
        <f t="shared" si="88"/>
        <v>1879.7</v>
      </c>
      <c r="AQ73" s="84">
        <f t="shared" si="89"/>
        <v>0</v>
      </c>
      <c r="AR73" s="84">
        <f t="shared" si="90"/>
        <v>-1879.7</v>
      </c>
      <c r="AS73" s="84">
        <f t="shared" si="91"/>
        <v>1120160</v>
      </c>
      <c r="AT73" s="83">
        <f t="shared" si="92"/>
        <v>1118280.3</v>
      </c>
    </row>
    <row r="74" spans="1:46" s="88" customFormat="1" ht="26.25" customHeight="1">
      <c r="A74" s="86">
        <v>10</v>
      </c>
      <c r="B74" s="87" t="s">
        <v>65</v>
      </c>
      <c r="C74" s="84">
        <v>0</v>
      </c>
      <c r="D74" s="84">
        <v>0</v>
      </c>
      <c r="E74" s="84">
        <v>0</v>
      </c>
      <c r="F74" s="83">
        <v>0</v>
      </c>
      <c r="G74" s="84">
        <v>0</v>
      </c>
      <c r="H74" s="84">
        <v>0</v>
      </c>
      <c r="I74" s="84">
        <v>1741513</v>
      </c>
      <c r="J74" s="83">
        <f t="shared" ref="J74:J77" si="93">SUM(G74:I74)</f>
        <v>1741513</v>
      </c>
      <c r="K74" s="84">
        <v>0</v>
      </c>
      <c r="L74" s="84">
        <v>0</v>
      </c>
      <c r="M74" s="84">
        <v>0</v>
      </c>
      <c r="N74" s="84">
        <f t="shared" ref="N74:N75" si="94">SUM(K74:M74)</f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  <c r="V74" s="84">
        <v>0</v>
      </c>
      <c r="W74" s="84">
        <v>0</v>
      </c>
      <c r="X74" s="84">
        <f t="shared" ref="X74:X77" si="95">D74+H74</f>
        <v>0</v>
      </c>
      <c r="Y74" s="84">
        <f t="shared" ref="Y74:Y77" si="96">(I74)</f>
        <v>1741513</v>
      </c>
      <c r="Z74" s="83">
        <f t="shared" ref="Z74:Z77" si="97">SUM(W74:Y74)</f>
        <v>1741513</v>
      </c>
      <c r="AA74" s="84">
        <v>0</v>
      </c>
      <c r="AB74" s="84">
        <v>0</v>
      </c>
      <c r="AC74" s="84">
        <v>0</v>
      </c>
      <c r="AD74" s="83">
        <f t="shared" ref="AD74:AD77" si="98">SUM(AA74:AC74)</f>
        <v>0</v>
      </c>
      <c r="AE74" s="84">
        <v>0</v>
      </c>
      <c r="AF74" s="84">
        <v>0</v>
      </c>
      <c r="AG74" s="84">
        <v>0</v>
      </c>
      <c r="AH74" s="83">
        <f t="shared" ref="AH74:AH77" si="99">SUM(AE74:AG74)</f>
        <v>0</v>
      </c>
      <c r="AI74" s="84">
        <v>0</v>
      </c>
      <c r="AJ74" s="84">
        <v>0</v>
      </c>
      <c r="AK74" s="84">
        <v>0</v>
      </c>
      <c r="AL74" s="83">
        <f t="shared" ref="AL74:AL77" si="100">SUM(AI74:AK74)</f>
        <v>0</v>
      </c>
      <c r="AM74" s="84">
        <v>0</v>
      </c>
      <c r="AN74" s="84">
        <v>0</v>
      </c>
      <c r="AO74" s="84">
        <v>0</v>
      </c>
      <c r="AP74" s="83">
        <f t="shared" ref="AP74:AP77" si="101">SUM(AM74:AO74)</f>
        <v>0</v>
      </c>
      <c r="AQ74" s="84">
        <f t="shared" si="89"/>
        <v>0</v>
      </c>
      <c r="AR74" s="84">
        <f t="shared" si="90"/>
        <v>0</v>
      </c>
      <c r="AS74" s="84">
        <f>Y74-AO74</f>
        <v>1741513</v>
      </c>
      <c r="AT74" s="83">
        <f t="shared" ref="AT74:AT75" si="102">SUM(AQ74:AS74)</f>
        <v>1741513</v>
      </c>
    </row>
    <row r="75" spans="1:46" s="88" customFormat="1" ht="26.25" customHeight="1">
      <c r="A75" s="86">
        <v>11</v>
      </c>
      <c r="B75" s="87" t="s">
        <v>66</v>
      </c>
      <c r="C75" s="84">
        <v>0</v>
      </c>
      <c r="D75" s="84">
        <v>0</v>
      </c>
      <c r="E75" s="84">
        <v>0</v>
      </c>
      <c r="F75" s="83">
        <v>0</v>
      </c>
      <c r="G75" s="84">
        <v>0</v>
      </c>
      <c r="H75" s="84">
        <v>0</v>
      </c>
      <c r="I75" s="84">
        <v>13198.18</v>
      </c>
      <c r="J75" s="83">
        <f t="shared" si="93"/>
        <v>13198.18</v>
      </c>
      <c r="K75" s="84">
        <v>0</v>
      </c>
      <c r="L75" s="84">
        <v>0</v>
      </c>
      <c r="M75" s="84">
        <v>0</v>
      </c>
      <c r="N75" s="84">
        <f t="shared" si="94"/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f t="shared" si="95"/>
        <v>0</v>
      </c>
      <c r="Y75" s="84">
        <f t="shared" si="96"/>
        <v>13198.18</v>
      </c>
      <c r="Z75" s="83">
        <f t="shared" si="97"/>
        <v>13198.18</v>
      </c>
      <c r="AA75" s="84">
        <v>0</v>
      </c>
      <c r="AB75" s="84">
        <v>0</v>
      </c>
      <c r="AC75" s="84">
        <v>13198.18</v>
      </c>
      <c r="AD75" s="83">
        <f t="shared" si="98"/>
        <v>13198.18</v>
      </c>
      <c r="AE75" s="84">
        <v>0</v>
      </c>
      <c r="AF75" s="84">
        <v>0</v>
      </c>
      <c r="AG75" s="84">
        <v>13198.18</v>
      </c>
      <c r="AH75" s="83">
        <f t="shared" si="99"/>
        <v>13198.18</v>
      </c>
      <c r="AI75" s="84">
        <v>0</v>
      </c>
      <c r="AJ75" s="84">
        <v>0</v>
      </c>
      <c r="AK75" s="84">
        <v>13198.18</v>
      </c>
      <c r="AL75" s="83">
        <f t="shared" si="100"/>
        <v>13198.18</v>
      </c>
      <c r="AM75" s="84">
        <v>0</v>
      </c>
      <c r="AN75" s="84">
        <v>0</v>
      </c>
      <c r="AO75" s="84">
        <v>13198.18</v>
      </c>
      <c r="AP75" s="83">
        <f t="shared" si="101"/>
        <v>13198.18</v>
      </c>
      <c r="AQ75" s="84">
        <f t="shared" si="89"/>
        <v>0</v>
      </c>
      <c r="AR75" s="84">
        <f t="shared" si="90"/>
        <v>0</v>
      </c>
      <c r="AS75" s="84">
        <f>Y75-AO75</f>
        <v>0</v>
      </c>
      <c r="AT75" s="83">
        <f t="shared" si="102"/>
        <v>0</v>
      </c>
    </row>
    <row r="76" spans="1:46" s="88" customFormat="1" ht="26.25" customHeight="1">
      <c r="A76" s="86">
        <v>12</v>
      </c>
      <c r="B76" s="87" t="s">
        <v>63</v>
      </c>
      <c r="C76" s="84">
        <v>0</v>
      </c>
      <c r="D76" s="84">
        <v>0</v>
      </c>
      <c r="E76" s="84">
        <v>0</v>
      </c>
      <c r="F76" s="83">
        <v>0</v>
      </c>
      <c r="G76" s="84">
        <v>0</v>
      </c>
      <c r="H76" s="84">
        <v>0</v>
      </c>
      <c r="I76" s="84">
        <v>820150</v>
      </c>
      <c r="J76" s="83">
        <f t="shared" si="93"/>
        <v>820150</v>
      </c>
      <c r="K76" s="84">
        <v>0</v>
      </c>
      <c r="L76" s="84">
        <v>0</v>
      </c>
      <c r="M76" s="84">
        <v>0</v>
      </c>
      <c r="N76" s="84">
        <f>SUM(K76:M76)</f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f t="shared" si="95"/>
        <v>0</v>
      </c>
      <c r="Y76" s="84">
        <f t="shared" si="96"/>
        <v>820150</v>
      </c>
      <c r="Z76" s="83">
        <f t="shared" si="97"/>
        <v>820150</v>
      </c>
      <c r="AA76" s="84">
        <v>0</v>
      </c>
      <c r="AB76" s="84">
        <v>0</v>
      </c>
      <c r="AC76" s="84">
        <v>0</v>
      </c>
      <c r="AD76" s="83">
        <f t="shared" si="98"/>
        <v>0</v>
      </c>
      <c r="AE76" s="84">
        <v>0</v>
      </c>
      <c r="AF76" s="84">
        <v>0</v>
      </c>
      <c r="AG76" s="84">
        <v>0</v>
      </c>
      <c r="AH76" s="83">
        <f t="shared" si="99"/>
        <v>0</v>
      </c>
      <c r="AI76" s="84">
        <v>0</v>
      </c>
      <c r="AJ76" s="84">
        <v>0</v>
      </c>
      <c r="AK76" s="84">
        <v>0</v>
      </c>
      <c r="AL76" s="83">
        <f t="shared" si="100"/>
        <v>0</v>
      </c>
      <c r="AM76" s="84">
        <v>0</v>
      </c>
      <c r="AN76" s="84">
        <v>0</v>
      </c>
      <c r="AO76" s="84">
        <v>0</v>
      </c>
      <c r="AP76" s="83">
        <f t="shared" si="101"/>
        <v>0</v>
      </c>
      <c r="AQ76" s="84">
        <f t="shared" si="89"/>
        <v>0</v>
      </c>
      <c r="AR76" s="84">
        <f t="shared" si="90"/>
        <v>0</v>
      </c>
      <c r="AS76" s="84">
        <f t="shared" ref="AS76:AS77" si="103">Y76-AO76</f>
        <v>820150</v>
      </c>
      <c r="AT76" s="83">
        <f t="shared" ref="AT76:AT77" si="104">SUM(AQ76:AS76)</f>
        <v>820150</v>
      </c>
    </row>
    <row r="77" spans="1:46" s="88" customFormat="1" ht="26.25" customHeight="1">
      <c r="A77" s="86">
        <v>13</v>
      </c>
      <c r="B77" s="87" t="s">
        <v>67</v>
      </c>
      <c r="C77" s="84">
        <v>0</v>
      </c>
      <c r="D77" s="84">
        <v>0</v>
      </c>
      <c r="E77" s="84">
        <v>0</v>
      </c>
      <c r="F77" s="83">
        <v>0</v>
      </c>
      <c r="G77" s="84">
        <v>0</v>
      </c>
      <c r="H77" s="84">
        <v>0</v>
      </c>
      <c r="I77" s="84">
        <v>140000</v>
      </c>
      <c r="J77" s="83">
        <f t="shared" si="93"/>
        <v>140000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f t="shared" si="95"/>
        <v>0</v>
      </c>
      <c r="Y77" s="84">
        <f t="shared" si="96"/>
        <v>140000</v>
      </c>
      <c r="Z77" s="83">
        <f t="shared" si="97"/>
        <v>140000</v>
      </c>
      <c r="AA77" s="84">
        <v>0</v>
      </c>
      <c r="AB77" s="84">
        <v>0</v>
      </c>
      <c r="AC77" s="84">
        <v>0</v>
      </c>
      <c r="AD77" s="83">
        <f t="shared" si="98"/>
        <v>0</v>
      </c>
      <c r="AE77" s="84">
        <v>0</v>
      </c>
      <c r="AF77" s="84">
        <v>0</v>
      </c>
      <c r="AG77" s="84">
        <v>0</v>
      </c>
      <c r="AH77" s="83">
        <f t="shared" si="99"/>
        <v>0</v>
      </c>
      <c r="AI77" s="84">
        <v>0</v>
      </c>
      <c r="AJ77" s="84">
        <v>0</v>
      </c>
      <c r="AK77" s="84">
        <v>0</v>
      </c>
      <c r="AL77" s="83">
        <f t="shared" si="100"/>
        <v>0</v>
      </c>
      <c r="AM77" s="84">
        <v>0</v>
      </c>
      <c r="AN77" s="84">
        <v>0</v>
      </c>
      <c r="AO77" s="84">
        <v>0</v>
      </c>
      <c r="AP77" s="83">
        <f t="shared" si="101"/>
        <v>0</v>
      </c>
      <c r="AQ77" s="84">
        <f>(W77-AI77)</f>
        <v>0</v>
      </c>
      <c r="AR77" s="84">
        <f t="shared" si="90"/>
        <v>0</v>
      </c>
      <c r="AS77" s="84">
        <f t="shared" si="103"/>
        <v>140000</v>
      </c>
      <c r="AT77" s="83">
        <f t="shared" si="104"/>
        <v>140000</v>
      </c>
    </row>
    <row r="78" spans="1:46" s="88" customFormat="1" ht="26.25" customHeight="1">
      <c r="A78" s="86">
        <v>14</v>
      </c>
      <c r="B78" s="87" t="s">
        <v>72</v>
      </c>
      <c r="C78" s="84">
        <f>C41</f>
        <v>0</v>
      </c>
      <c r="D78" s="84">
        <f t="shared" ref="D78:AT78" si="105">D41</f>
        <v>0</v>
      </c>
      <c r="E78" s="84">
        <f t="shared" si="105"/>
        <v>0</v>
      </c>
      <c r="F78" s="84">
        <f t="shared" si="105"/>
        <v>0</v>
      </c>
      <c r="G78" s="84">
        <f t="shared" si="105"/>
        <v>1034450.37</v>
      </c>
      <c r="H78" s="84">
        <f t="shared" si="105"/>
        <v>0</v>
      </c>
      <c r="I78" s="84">
        <f t="shared" si="105"/>
        <v>0</v>
      </c>
      <c r="J78" s="84">
        <f t="shared" si="105"/>
        <v>1034450.37</v>
      </c>
      <c r="K78" s="84">
        <f t="shared" si="105"/>
        <v>0</v>
      </c>
      <c r="L78" s="84">
        <f t="shared" si="105"/>
        <v>0</v>
      </c>
      <c r="M78" s="84">
        <f t="shared" si="105"/>
        <v>0</v>
      </c>
      <c r="N78" s="84">
        <f t="shared" si="105"/>
        <v>0</v>
      </c>
      <c r="O78" s="84">
        <f t="shared" si="105"/>
        <v>0</v>
      </c>
      <c r="P78" s="84">
        <f t="shared" si="105"/>
        <v>0</v>
      </c>
      <c r="Q78" s="84">
        <f t="shared" si="105"/>
        <v>0</v>
      </c>
      <c r="R78" s="84">
        <f t="shared" si="105"/>
        <v>0</v>
      </c>
      <c r="S78" s="84">
        <f t="shared" si="105"/>
        <v>0</v>
      </c>
      <c r="T78" s="84">
        <f t="shared" si="105"/>
        <v>0</v>
      </c>
      <c r="U78" s="84">
        <f t="shared" si="105"/>
        <v>0</v>
      </c>
      <c r="V78" s="84">
        <f t="shared" si="105"/>
        <v>0</v>
      </c>
      <c r="W78" s="84">
        <f t="shared" si="105"/>
        <v>1034450.37</v>
      </c>
      <c r="X78" s="84">
        <f t="shared" si="105"/>
        <v>0</v>
      </c>
      <c r="Y78" s="84">
        <f t="shared" si="105"/>
        <v>0</v>
      </c>
      <c r="Z78" s="84">
        <f t="shared" si="105"/>
        <v>1034450.37</v>
      </c>
      <c r="AA78" s="84">
        <f t="shared" si="105"/>
        <v>0</v>
      </c>
      <c r="AB78" s="84">
        <f t="shared" si="105"/>
        <v>0</v>
      </c>
      <c r="AC78" s="84">
        <f t="shared" si="105"/>
        <v>0</v>
      </c>
      <c r="AD78" s="84">
        <f t="shared" si="105"/>
        <v>0</v>
      </c>
      <c r="AE78" s="84">
        <f t="shared" si="105"/>
        <v>0</v>
      </c>
      <c r="AF78" s="84">
        <f t="shared" si="105"/>
        <v>0</v>
      </c>
      <c r="AG78" s="84">
        <f t="shared" si="105"/>
        <v>0</v>
      </c>
      <c r="AH78" s="84">
        <f t="shared" si="105"/>
        <v>0</v>
      </c>
      <c r="AI78" s="84">
        <f t="shared" si="105"/>
        <v>0</v>
      </c>
      <c r="AJ78" s="84">
        <f t="shared" si="105"/>
        <v>0</v>
      </c>
      <c r="AK78" s="84">
        <f t="shared" si="105"/>
        <v>0</v>
      </c>
      <c r="AL78" s="84">
        <f t="shared" si="105"/>
        <v>0</v>
      </c>
      <c r="AM78" s="84">
        <f t="shared" si="105"/>
        <v>0</v>
      </c>
      <c r="AN78" s="84">
        <f t="shared" si="105"/>
        <v>0</v>
      </c>
      <c r="AO78" s="84">
        <f t="shared" si="105"/>
        <v>0</v>
      </c>
      <c r="AP78" s="84">
        <f t="shared" si="105"/>
        <v>0</v>
      </c>
      <c r="AQ78" s="84">
        <f t="shared" si="105"/>
        <v>1034450.37</v>
      </c>
      <c r="AR78" s="84">
        <f t="shared" si="105"/>
        <v>0</v>
      </c>
      <c r="AS78" s="84">
        <f t="shared" si="105"/>
        <v>0</v>
      </c>
      <c r="AT78" s="84">
        <f t="shared" si="105"/>
        <v>1034450.37</v>
      </c>
    </row>
    <row r="79" spans="1:46" ht="6" customHeight="1" thickBot="1">
      <c r="A79" s="6"/>
      <c r="B79" s="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36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</row>
    <row r="80" spans="1:46" ht="14.25" thickBot="1">
      <c r="A80" s="9"/>
      <c r="B80" s="7" t="s">
        <v>0</v>
      </c>
      <c r="C80" s="21">
        <f>SUM(C65:C78)</f>
        <v>0</v>
      </c>
      <c r="D80" s="21">
        <f t="shared" ref="D80:AT80" si="106">SUM(D65:D78)</f>
        <v>0</v>
      </c>
      <c r="E80" s="21">
        <f t="shared" si="106"/>
        <v>0</v>
      </c>
      <c r="F80" s="21">
        <f t="shared" si="106"/>
        <v>0</v>
      </c>
      <c r="G80" s="21">
        <f t="shared" si="106"/>
        <v>1104074.28</v>
      </c>
      <c r="H80" s="21">
        <f t="shared" si="106"/>
        <v>0</v>
      </c>
      <c r="I80" s="21">
        <f t="shared" si="106"/>
        <v>4901103.7</v>
      </c>
      <c r="J80" s="21">
        <f t="shared" si="106"/>
        <v>6005177.9799999995</v>
      </c>
      <c r="K80" s="21">
        <f t="shared" si="106"/>
        <v>0</v>
      </c>
      <c r="L80" s="21">
        <f t="shared" si="106"/>
        <v>0</v>
      </c>
      <c r="M80" s="21">
        <f t="shared" si="106"/>
        <v>0</v>
      </c>
      <c r="N80" s="21">
        <f t="shared" si="106"/>
        <v>0</v>
      </c>
      <c r="O80" s="21">
        <f t="shared" si="106"/>
        <v>0</v>
      </c>
      <c r="P80" s="21">
        <f t="shared" si="106"/>
        <v>0</v>
      </c>
      <c r="Q80" s="21">
        <f t="shared" si="106"/>
        <v>0</v>
      </c>
      <c r="R80" s="21">
        <f t="shared" si="106"/>
        <v>0</v>
      </c>
      <c r="S80" s="21">
        <f t="shared" si="106"/>
        <v>0</v>
      </c>
      <c r="T80" s="21">
        <f t="shared" si="106"/>
        <v>0</v>
      </c>
      <c r="U80" s="21">
        <f t="shared" si="106"/>
        <v>0</v>
      </c>
      <c r="V80" s="21">
        <f t="shared" si="106"/>
        <v>0</v>
      </c>
      <c r="W80" s="21">
        <f t="shared" si="106"/>
        <v>1104074.28</v>
      </c>
      <c r="X80" s="21">
        <f t="shared" si="106"/>
        <v>0</v>
      </c>
      <c r="Y80" s="21">
        <f t="shared" si="106"/>
        <v>4901103.7</v>
      </c>
      <c r="Z80" s="21">
        <f t="shared" si="106"/>
        <v>6005177.9799999995</v>
      </c>
      <c r="AA80" s="21">
        <f t="shared" si="106"/>
        <v>69623.91</v>
      </c>
      <c r="AB80" s="21">
        <f t="shared" si="106"/>
        <v>0</v>
      </c>
      <c r="AC80" s="21">
        <f t="shared" si="106"/>
        <v>879098.13</v>
      </c>
      <c r="AD80" s="21">
        <f t="shared" si="106"/>
        <v>948722.04</v>
      </c>
      <c r="AE80" s="21">
        <f t="shared" si="106"/>
        <v>69623.91</v>
      </c>
      <c r="AF80" s="21">
        <f t="shared" si="106"/>
        <v>0</v>
      </c>
      <c r="AG80" s="21">
        <f t="shared" si="106"/>
        <v>879098.13</v>
      </c>
      <c r="AH80" s="21">
        <f t="shared" si="106"/>
        <v>948722.04</v>
      </c>
      <c r="AI80" s="21">
        <f t="shared" si="106"/>
        <v>69623.91</v>
      </c>
      <c r="AJ80" s="21">
        <f t="shared" si="106"/>
        <v>0</v>
      </c>
      <c r="AK80" s="21">
        <f t="shared" si="106"/>
        <v>879098.13</v>
      </c>
      <c r="AL80" s="21">
        <f t="shared" si="106"/>
        <v>948722.04</v>
      </c>
      <c r="AM80" s="21">
        <f t="shared" si="106"/>
        <v>69623.91</v>
      </c>
      <c r="AN80" s="21">
        <f t="shared" si="106"/>
        <v>1879.7</v>
      </c>
      <c r="AO80" s="21">
        <f t="shared" si="106"/>
        <v>879098.13</v>
      </c>
      <c r="AP80" s="21">
        <f t="shared" si="106"/>
        <v>950601.74</v>
      </c>
      <c r="AQ80" s="21">
        <f t="shared" si="106"/>
        <v>1034450.37</v>
      </c>
      <c r="AR80" s="21">
        <f t="shared" si="106"/>
        <v>-1879.7</v>
      </c>
      <c r="AS80" s="21">
        <f t="shared" si="106"/>
        <v>4022005.5700000003</v>
      </c>
      <c r="AT80" s="21">
        <f t="shared" si="106"/>
        <v>5054576.24</v>
      </c>
    </row>
    <row r="81" spans="1:47" s="1" customForma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37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3" spans="1:47" s="35" customFormat="1" ht="24.75" customHeight="1">
      <c r="A83" s="65"/>
      <c r="C83" s="164" t="s">
        <v>41</v>
      </c>
      <c r="D83" s="164"/>
      <c r="E83" s="164"/>
      <c r="F83" s="164"/>
      <c r="G83" s="66"/>
      <c r="K83" s="66"/>
      <c r="L83" s="66"/>
      <c r="M83" s="66"/>
      <c r="N83" s="66"/>
      <c r="O83" s="66"/>
      <c r="P83" s="66"/>
      <c r="Q83" s="66"/>
      <c r="R83" s="66"/>
      <c r="S83" s="66"/>
      <c r="V83" s="164" t="s">
        <v>42</v>
      </c>
      <c r="W83" s="164"/>
      <c r="X83" s="164"/>
      <c r="Y83" s="164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M83" s="66"/>
      <c r="AO83" s="164" t="s">
        <v>43</v>
      </c>
      <c r="AP83" s="164"/>
      <c r="AQ83" s="164"/>
      <c r="AR83" s="164"/>
    </row>
    <row r="84" spans="1:47" s="35" customFormat="1" ht="24.75" customHeight="1">
      <c r="A84" s="65"/>
      <c r="C84" s="69"/>
      <c r="D84" s="69"/>
      <c r="E84" s="70"/>
      <c r="F84" s="66"/>
      <c r="G84" s="66"/>
      <c r="K84" s="66"/>
      <c r="L84" s="66"/>
      <c r="M84" s="66"/>
      <c r="N84" s="66"/>
      <c r="O84" s="66"/>
      <c r="P84" s="66"/>
      <c r="Q84" s="66"/>
      <c r="R84" s="66"/>
      <c r="S84" s="66"/>
      <c r="V84" s="70"/>
      <c r="W84" s="69"/>
      <c r="X84" s="69"/>
      <c r="Y84" s="70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M84" s="66"/>
      <c r="AO84" s="68"/>
      <c r="AP84" s="69"/>
      <c r="AQ84" s="70"/>
      <c r="AR84" s="68"/>
    </row>
    <row r="85" spans="1:47" s="35" customFormat="1" ht="16.5" customHeight="1">
      <c r="A85" s="65"/>
      <c r="C85" s="69"/>
      <c r="D85" s="69"/>
      <c r="E85" s="70"/>
      <c r="F85" s="66"/>
      <c r="G85" s="66"/>
      <c r="K85" s="66"/>
      <c r="L85" s="66"/>
      <c r="M85" s="66"/>
      <c r="N85" s="66"/>
      <c r="O85" s="66"/>
      <c r="P85" s="66"/>
      <c r="Q85" s="66"/>
      <c r="R85" s="66"/>
      <c r="S85" s="66"/>
      <c r="V85" s="70"/>
      <c r="W85" s="69"/>
      <c r="X85" s="69"/>
      <c r="Y85" s="70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M85" s="66"/>
      <c r="AO85" s="68"/>
      <c r="AP85" s="69"/>
      <c r="AQ85" s="70"/>
      <c r="AR85" s="68"/>
    </row>
    <row r="86" spans="1:47" s="35" customFormat="1" ht="24.75" customHeight="1">
      <c r="A86" s="65"/>
      <c r="C86" s="166" t="s">
        <v>44</v>
      </c>
      <c r="D86" s="166"/>
      <c r="E86" s="166"/>
      <c r="F86" s="166"/>
      <c r="G86" s="66"/>
      <c r="K86" s="66"/>
      <c r="L86" s="66"/>
      <c r="M86" s="66"/>
      <c r="N86" s="66"/>
      <c r="O86" s="66"/>
      <c r="P86" s="66"/>
      <c r="Q86" s="66"/>
      <c r="R86" s="66"/>
      <c r="S86" s="66"/>
      <c r="V86" s="164" t="s">
        <v>53</v>
      </c>
      <c r="W86" s="164"/>
      <c r="X86" s="164"/>
      <c r="Y86" s="164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M86" s="66"/>
      <c r="AO86" s="164" t="s">
        <v>55</v>
      </c>
      <c r="AP86" s="164"/>
      <c r="AQ86" s="164"/>
      <c r="AR86" s="164"/>
    </row>
    <row r="87" spans="1:47" s="35" customFormat="1" ht="24.75" customHeight="1">
      <c r="A87" s="65"/>
      <c r="C87" s="164" t="s">
        <v>45</v>
      </c>
      <c r="D87" s="164"/>
      <c r="E87" s="164"/>
      <c r="F87" s="164"/>
      <c r="G87" s="66"/>
      <c r="K87" s="66"/>
      <c r="L87" s="66"/>
      <c r="M87" s="66"/>
      <c r="N87" s="66"/>
      <c r="O87" s="66"/>
      <c r="P87" s="66"/>
      <c r="Q87" s="66"/>
      <c r="R87" s="66"/>
      <c r="S87" s="66"/>
      <c r="U87" s="164" t="s">
        <v>54</v>
      </c>
      <c r="V87" s="164"/>
      <c r="W87" s="164"/>
      <c r="X87" s="164"/>
      <c r="Y87" s="164"/>
      <c r="Z87" s="164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M87" s="66"/>
      <c r="AO87" s="164" t="s">
        <v>46</v>
      </c>
      <c r="AP87" s="164"/>
      <c r="AQ87" s="164"/>
      <c r="AR87" s="164"/>
    </row>
    <row r="88" spans="1:47" ht="18">
      <c r="C88" s="71"/>
      <c r="D88" s="71"/>
      <c r="E88" s="71"/>
    </row>
    <row r="91" spans="1:47" s="1" customForma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Z91" s="10"/>
      <c r="AA91" s="10"/>
      <c r="AB91" s="10"/>
      <c r="AC91" s="37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s="1" customFormat="1">
      <c r="A92" s="10"/>
      <c r="B92" s="10"/>
      <c r="C92" s="10"/>
      <c r="D92" s="10"/>
      <c r="E92" s="10"/>
      <c r="F92" s="58"/>
      <c r="G92" s="10"/>
      <c r="H92" s="10"/>
      <c r="I92" s="10"/>
      <c r="J92" s="58"/>
      <c r="K92" s="10"/>
      <c r="L92" s="10"/>
      <c r="M92" s="10"/>
      <c r="N92" s="58"/>
      <c r="O92" s="10"/>
      <c r="P92" s="10"/>
      <c r="Q92" s="10"/>
      <c r="R92" s="58"/>
      <c r="S92" s="10"/>
      <c r="T92" s="10"/>
      <c r="U92" s="10"/>
      <c r="V92" s="58"/>
      <c r="Z92" s="58"/>
      <c r="AA92" s="10"/>
      <c r="AB92" s="10"/>
      <c r="AC92" s="37"/>
      <c r="AD92" s="58"/>
      <c r="AE92" s="10"/>
      <c r="AF92" s="10"/>
      <c r="AG92" s="10"/>
      <c r="AH92" s="58"/>
      <c r="AI92" s="10"/>
      <c r="AJ92" s="10"/>
      <c r="AK92" s="10"/>
      <c r="AL92" s="58"/>
      <c r="AM92" s="10"/>
      <c r="AN92" s="10"/>
      <c r="AO92" s="10"/>
      <c r="AP92" s="58"/>
      <c r="AQ92" s="10"/>
      <c r="AR92" s="10"/>
      <c r="AS92" s="10"/>
      <c r="AT92" s="10"/>
      <c r="AU92" s="10"/>
    </row>
    <row r="93" spans="1:47" s="1" customForma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37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s="1" customFormat="1">
      <c r="A94" s="10"/>
      <c r="B94" s="10"/>
      <c r="C94" s="10"/>
      <c r="D94" s="10"/>
      <c r="E94" s="10"/>
      <c r="F94" s="28"/>
      <c r="G94" s="10"/>
      <c r="H94" s="10"/>
      <c r="I94" s="10"/>
      <c r="J94" s="28"/>
      <c r="K94" s="10"/>
      <c r="L94" s="10"/>
      <c r="M94" s="10"/>
      <c r="N94" s="28"/>
      <c r="O94" s="10"/>
      <c r="P94" s="10"/>
      <c r="Q94" s="10"/>
      <c r="R94" s="28"/>
      <c r="S94" s="10"/>
      <c r="T94" s="10"/>
      <c r="U94" s="10"/>
      <c r="V94" s="28"/>
      <c r="W94" s="10"/>
      <c r="X94" s="10"/>
      <c r="Y94" s="10"/>
      <c r="Z94" s="28"/>
      <c r="AA94" s="10"/>
      <c r="AB94" s="10"/>
      <c r="AC94" s="37"/>
      <c r="AD94" s="28"/>
      <c r="AE94" s="10"/>
      <c r="AF94" s="10"/>
      <c r="AG94" s="10"/>
      <c r="AH94" s="28"/>
      <c r="AI94" s="10"/>
      <c r="AJ94" s="10"/>
      <c r="AK94" s="10"/>
      <c r="AL94" s="28"/>
      <c r="AM94" s="10"/>
      <c r="AN94" s="10"/>
      <c r="AO94" s="10"/>
      <c r="AP94" s="28"/>
      <c r="AQ94" s="10"/>
      <c r="AR94" s="10"/>
      <c r="AS94" s="10"/>
      <c r="AT94" s="10"/>
      <c r="AU94" s="10"/>
    </row>
    <row r="95" spans="1:47" s="1" customFormat="1">
      <c r="A95" s="10"/>
      <c r="B95" s="10"/>
      <c r="C95" s="10"/>
      <c r="D95" s="10"/>
      <c r="E95" s="10"/>
      <c r="F95" s="28"/>
      <c r="G95" s="10"/>
      <c r="H95" s="10"/>
      <c r="I95" s="10"/>
      <c r="J95" s="28"/>
      <c r="K95" s="10"/>
      <c r="L95" s="10"/>
      <c r="M95" s="10"/>
      <c r="N95" s="28"/>
      <c r="O95" s="10"/>
      <c r="P95" s="10"/>
      <c r="Q95" s="10"/>
      <c r="R95" s="28"/>
      <c r="S95" s="10"/>
      <c r="T95" s="10"/>
      <c r="U95" s="10"/>
      <c r="V95" s="28"/>
      <c r="W95" s="10"/>
      <c r="X95" s="10"/>
      <c r="Y95" s="10"/>
      <c r="Z95" s="10"/>
      <c r="AA95" s="10"/>
      <c r="AB95" s="10"/>
      <c r="AC95" s="37"/>
      <c r="AD95" s="10"/>
      <c r="AE95" s="10"/>
      <c r="AF95" s="10"/>
      <c r="AG95" s="10"/>
      <c r="AH95" s="10"/>
      <c r="AI95" s="10"/>
      <c r="AJ95" s="10"/>
      <c r="AK95" s="10"/>
      <c r="AL95" s="28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s="1" customForma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37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s="1" customFormat="1">
      <c r="A97" s="10"/>
      <c r="B97" s="10"/>
      <c r="C97" s="10"/>
      <c r="D97" s="10"/>
      <c r="E97" s="10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37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s="1" customForma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37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>
      <c r="F99" s="63"/>
      <c r="G99" s="63"/>
      <c r="H99" s="75"/>
      <c r="I99" s="63"/>
      <c r="J99" s="63"/>
    </row>
  </sheetData>
  <mergeCells count="79">
    <mergeCell ref="AS8:AT8"/>
    <mergeCell ref="A24:A27"/>
    <mergeCell ref="B24:B27"/>
    <mergeCell ref="C24:AT24"/>
    <mergeCell ref="C25:F26"/>
    <mergeCell ref="G25:J26"/>
    <mergeCell ref="K25:N26"/>
    <mergeCell ref="O25:R26"/>
    <mergeCell ref="S25:V26"/>
    <mergeCell ref="W25:Z26"/>
    <mergeCell ref="AA25:AD26"/>
    <mergeCell ref="AE25:AH26"/>
    <mergeCell ref="AI25:AL26"/>
    <mergeCell ref="AM25:AP26"/>
    <mergeCell ref="AQ25:AT26"/>
    <mergeCell ref="G11:N11"/>
    <mergeCell ref="AR1:AT1"/>
    <mergeCell ref="A1:D1"/>
    <mergeCell ref="A4:AT4"/>
    <mergeCell ref="A5:AT5"/>
    <mergeCell ref="C10:AT10"/>
    <mergeCell ref="A6:AT6"/>
    <mergeCell ref="A7:AT7"/>
    <mergeCell ref="A10:A13"/>
    <mergeCell ref="B10:B13"/>
    <mergeCell ref="C11:F12"/>
    <mergeCell ref="W11:Z12"/>
    <mergeCell ref="AA11:AD12"/>
    <mergeCell ref="AE11:AH12"/>
    <mergeCell ref="AI11:AL12"/>
    <mergeCell ref="AM11:AP12"/>
    <mergeCell ref="AQ11:AT12"/>
    <mergeCell ref="O11:V11"/>
    <mergeCell ref="G12:J12"/>
    <mergeCell ref="K12:N12"/>
    <mergeCell ref="O12:R12"/>
    <mergeCell ref="S12:V12"/>
    <mergeCell ref="C48:F49"/>
    <mergeCell ref="AI48:AL49"/>
    <mergeCell ref="G48:N48"/>
    <mergeCell ref="W62:Z63"/>
    <mergeCell ref="AQ48:AT49"/>
    <mergeCell ref="B61:B64"/>
    <mergeCell ref="C61:AT61"/>
    <mergeCell ref="C62:F63"/>
    <mergeCell ref="O48:V48"/>
    <mergeCell ref="G49:J49"/>
    <mergeCell ref="K49:N49"/>
    <mergeCell ref="O49:R49"/>
    <mergeCell ref="S49:V49"/>
    <mergeCell ref="G62:N62"/>
    <mergeCell ref="G63:J63"/>
    <mergeCell ref="K63:N63"/>
    <mergeCell ref="A60:B60"/>
    <mergeCell ref="A61:A64"/>
    <mergeCell ref="A47:A50"/>
    <mergeCell ref="B47:B50"/>
    <mergeCell ref="C47:AT47"/>
    <mergeCell ref="V83:Y83"/>
    <mergeCell ref="W48:Z49"/>
    <mergeCell ref="AA48:AD49"/>
    <mergeCell ref="AM48:AP49"/>
    <mergeCell ref="AE48:AH49"/>
    <mergeCell ref="C86:F86"/>
    <mergeCell ref="C87:F87"/>
    <mergeCell ref="AA62:AD63"/>
    <mergeCell ref="V86:Y86"/>
    <mergeCell ref="AO83:AR83"/>
    <mergeCell ref="AO86:AR86"/>
    <mergeCell ref="AO87:AR87"/>
    <mergeCell ref="AE62:AH63"/>
    <mergeCell ref="AI62:AL63"/>
    <mergeCell ref="AM62:AP63"/>
    <mergeCell ref="AQ62:AT63"/>
    <mergeCell ref="O62:V62"/>
    <mergeCell ref="O63:R63"/>
    <mergeCell ref="S63:V63"/>
    <mergeCell ref="U87:Z87"/>
    <mergeCell ref="C83:F83"/>
  </mergeCells>
  <printOptions horizontalCentered="1"/>
  <pageMargins left="0.19685039370078741" right="0.19685039370078741" top="0.59055118110236227" bottom="0.19685039370078741" header="0" footer="0.19685039370078741"/>
  <pageSetup paperSize="17" scale="38" fitToHeight="0" orientation="landscape" r:id="rId1"/>
  <rowBreaks count="4" manualBreakCount="4">
    <brk id="90" max="56" man="1"/>
    <brk id="92" max="46" man="1"/>
    <brk id="93" max="46" man="1"/>
    <brk id="108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UCEEP-09</vt:lpstr>
      <vt:lpstr>UCEEP-09-01</vt:lpstr>
      <vt:lpstr>'UCEEP-09'!Área_de_impresión</vt:lpstr>
      <vt:lpstr>'UCEEP-09-01'!Área_de_impresión</vt:lpstr>
      <vt:lpstr>'UCEEP-09-01'!Títulos_a_imprimir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lap_par19</dc:creator>
  <cp:lastModifiedBy>Programación y Presupuestos</cp:lastModifiedBy>
  <cp:lastPrinted>2020-03-18T15:37:41Z</cp:lastPrinted>
  <dcterms:created xsi:type="dcterms:W3CDTF">2011-03-22T16:13:17Z</dcterms:created>
  <dcterms:modified xsi:type="dcterms:W3CDTF">2020-03-18T15:37:45Z</dcterms:modified>
</cp:coreProperties>
</file>