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tec\Desktop\Evaluación programatica\"/>
    </mc:Choice>
  </mc:AlternateContent>
  <bookViews>
    <workbookView xWindow="0" yWindow="0" windowWidth="19200" windowHeight="7050"/>
  </bookViews>
  <sheets>
    <sheet name="UCEEP-09" sheetId="24" r:id="rId1"/>
    <sheet name="UCEEP-09-01" sheetId="52" r:id="rId2"/>
  </sheets>
  <externalReferences>
    <externalReference r:id="rId3"/>
  </externalReferences>
  <definedNames>
    <definedName name="_xlnm.Print_Area" localSheetId="0">'UCEEP-09'!$A$1:$AA$49</definedName>
    <definedName name="_xlnm.Print_Area" localSheetId="1">'UCEEP-09-01'!$A$1:$AU$91</definedName>
    <definedName name="_xlnm.Print_Titles" localSheetId="1">'UCEEP-09-01'!$1:$7</definedName>
  </definedNames>
  <calcPr calcId="162913"/>
</workbook>
</file>

<file path=xl/calcChain.xml><?xml version="1.0" encoding="utf-8"?>
<calcChain xmlns="http://schemas.openxmlformats.org/spreadsheetml/2006/main">
  <c r="C49" i="52" l="1"/>
  <c r="AO50" i="52"/>
  <c r="AN50" i="52"/>
  <c r="AM50" i="52"/>
  <c r="AO49" i="52"/>
  <c r="AN49" i="52"/>
  <c r="AO47" i="52"/>
  <c r="AN47" i="52"/>
  <c r="AM47" i="52"/>
  <c r="AO46" i="52"/>
  <c r="AN46" i="52"/>
  <c r="AM46" i="52"/>
  <c r="AK50" i="52"/>
  <c r="AJ50" i="52"/>
  <c r="AI50" i="52"/>
  <c r="AK49" i="52"/>
  <c r="AJ49" i="52"/>
  <c r="AK47" i="52"/>
  <c r="AJ47" i="52"/>
  <c r="AI47" i="52"/>
  <c r="AK46" i="52"/>
  <c r="AJ46" i="52"/>
  <c r="AI46" i="52"/>
  <c r="AG50" i="52"/>
  <c r="AF50" i="52"/>
  <c r="AE50" i="52"/>
  <c r="AG49" i="52"/>
  <c r="AF49" i="52"/>
  <c r="AG47" i="52"/>
  <c r="AF47" i="52"/>
  <c r="AE47" i="52"/>
  <c r="AG46" i="52"/>
  <c r="AF46" i="52"/>
  <c r="AE46" i="52"/>
  <c r="AC50" i="52"/>
  <c r="AB50" i="52"/>
  <c r="AA50" i="52"/>
  <c r="AC49" i="52"/>
  <c r="AB49" i="52"/>
  <c r="AC47" i="52"/>
  <c r="AB47" i="52"/>
  <c r="AA47" i="52"/>
  <c r="AC46" i="52"/>
  <c r="AB46" i="52"/>
  <c r="AA46" i="52"/>
  <c r="O46" i="52" l="1"/>
  <c r="E50" i="52"/>
  <c r="D50" i="52"/>
  <c r="F50" i="52" s="1"/>
  <c r="P17" i="24" s="1"/>
  <c r="AA17" i="24" s="1"/>
  <c r="E49" i="52"/>
  <c r="D49" i="52"/>
  <c r="E48" i="52"/>
  <c r="Y48" i="52" s="1"/>
  <c r="AS48" i="52" s="1"/>
  <c r="D48" i="52"/>
  <c r="X48" i="52" s="1"/>
  <c r="AR48" i="52" s="1"/>
  <c r="C48" i="52"/>
  <c r="E47" i="52"/>
  <c r="D47" i="52"/>
  <c r="E46" i="52"/>
  <c r="D46" i="52"/>
  <c r="C50" i="52"/>
  <c r="C47" i="52"/>
  <c r="C46" i="52"/>
  <c r="AP50" i="52"/>
  <c r="Y17" i="24" s="1"/>
  <c r="AL50" i="52"/>
  <c r="X17" i="24" s="1"/>
  <c r="AH50" i="52"/>
  <c r="W17" i="24" s="1"/>
  <c r="AD50" i="52"/>
  <c r="V17" i="24" s="1"/>
  <c r="AP49" i="52"/>
  <c r="Y16" i="24" s="1"/>
  <c r="AL49" i="52"/>
  <c r="X16" i="24" s="1"/>
  <c r="AH49" i="52"/>
  <c r="W16" i="24" s="1"/>
  <c r="AD49" i="52"/>
  <c r="V16" i="24" s="1"/>
  <c r="W49" i="52"/>
  <c r="V49" i="52"/>
  <c r="T16" i="24" s="1"/>
  <c r="R49" i="52"/>
  <c r="S16" i="24" s="1"/>
  <c r="F49" i="52"/>
  <c r="P16" i="24" s="1"/>
  <c r="AA16" i="24" s="1"/>
  <c r="AP48" i="52"/>
  <c r="Y15" i="24" s="1"/>
  <c r="AL48" i="52"/>
  <c r="X15" i="24" s="1"/>
  <c r="AH48" i="52"/>
  <c r="W15" i="24" s="1"/>
  <c r="AD48" i="52"/>
  <c r="V15" i="24" s="1"/>
  <c r="W48" i="52"/>
  <c r="AQ48" i="52" s="1"/>
  <c r="V48" i="52"/>
  <c r="T15" i="24" s="1"/>
  <c r="R48" i="52"/>
  <c r="S15" i="24" s="1"/>
  <c r="N48" i="52"/>
  <c r="R15" i="24" s="1"/>
  <c r="J48" i="52"/>
  <c r="Q15" i="24" s="1"/>
  <c r="AP47" i="52"/>
  <c r="Y14" i="24" s="1"/>
  <c r="AL47" i="52"/>
  <c r="X14" i="24" s="1"/>
  <c r="AH47" i="52"/>
  <c r="W14" i="24" s="1"/>
  <c r="AD47" i="52"/>
  <c r="V14" i="24" s="1"/>
  <c r="AP46" i="52"/>
  <c r="Y13" i="24" s="1"/>
  <c r="AL46" i="52"/>
  <c r="X13" i="24" s="1"/>
  <c r="AH46" i="52"/>
  <c r="W13" i="24" s="1"/>
  <c r="AD46" i="52"/>
  <c r="V13" i="24" s="1"/>
  <c r="F47" i="52" l="1"/>
  <c r="P14" i="24" s="1"/>
  <c r="AA14" i="24" s="1"/>
  <c r="F48" i="52"/>
  <c r="P15" i="24" s="1"/>
  <c r="AA15" i="24" s="1"/>
  <c r="AT48" i="52"/>
  <c r="Z15" i="24" s="1"/>
  <c r="F46" i="52"/>
  <c r="P13" i="24" s="1"/>
  <c r="AA13" i="24" s="1"/>
  <c r="AQ49" i="52"/>
  <c r="Z48" i="52"/>
  <c r="U15" i="24" s="1"/>
  <c r="AO67" i="52" l="1"/>
  <c r="AP67" i="52" s="1"/>
  <c r="AO66" i="52"/>
  <c r="AP66" i="52" s="1"/>
  <c r="AO63" i="52"/>
  <c r="AO61" i="52"/>
  <c r="AK67" i="52"/>
  <c r="AL67" i="52" s="1"/>
  <c r="AK66" i="52"/>
  <c r="AL66" i="52" s="1"/>
  <c r="AK63" i="52"/>
  <c r="AK61" i="52"/>
  <c r="AL61" i="52" s="1"/>
  <c r="AG67" i="52"/>
  <c r="AH67" i="52" s="1"/>
  <c r="AG66" i="52"/>
  <c r="AH66" i="52" s="1"/>
  <c r="AG63" i="52"/>
  <c r="AG61" i="52"/>
  <c r="AH61" i="52" s="1"/>
  <c r="AC67" i="52"/>
  <c r="AD67" i="52" s="1"/>
  <c r="AC66" i="52"/>
  <c r="AD66" i="52" s="1"/>
  <c r="AC63" i="52"/>
  <c r="AC61" i="52"/>
  <c r="AR67" i="52"/>
  <c r="AQ67" i="52"/>
  <c r="Y67" i="52"/>
  <c r="Z67" i="52" s="1"/>
  <c r="J67" i="52"/>
  <c r="AR66" i="52"/>
  <c r="AQ66" i="52"/>
  <c r="Y66" i="52"/>
  <c r="Z66" i="52" s="1"/>
  <c r="J66" i="52"/>
  <c r="AR65" i="52"/>
  <c r="AQ65" i="52"/>
  <c r="AP65" i="52"/>
  <c r="AL65" i="52"/>
  <c r="AH65" i="52"/>
  <c r="AD65" i="52"/>
  <c r="Y65" i="52"/>
  <c r="Z65" i="52" s="1"/>
  <c r="J65" i="52"/>
  <c r="AR64" i="52"/>
  <c r="AQ64" i="52"/>
  <c r="AP64" i="52"/>
  <c r="AL64" i="52"/>
  <c r="AH64" i="52"/>
  <c r="AD64" i="52"/>
  <c r="Y64" i="52"/>
  <c r="Z64" i="52" s="1"/>
  <c r="J64" i="52"/>
  <c r="AR63" i="52"/>
  <c r="AQ63" i="52"/>
  <c r="AP63" i="52"/>
  <c r="AL63" i="52"/>
  <c r="AH63" i="52"/>
  <c r="AD63" i="52"/>
  <c r="Y63" i="52"/>
  <c r="Z63" i="52" s="1"/>
  <c r="J63" i="52"/>
  <c r="AR62" i="52"/>
  <c r="AQ62" i="52"/>
  <c r="AP62" i="52"/>
  <c r="AL62" i="52"/>
  <c r="AH62" i="52"/>
  <c r="AD62" i="52"/>
  <c r="Z62" i="52"/>
  <c r="Y62" i="52"/>
  <c r="AS62" i="52" s="1"/>
  <c r="J62" i="52"/>
  <c r="AR61" i="52"/>
  <c r="AQ61" i="52"/>
  <c r="AP61" i="52"/>
  <c r="AD61" i="52"/>
  <c r="Y61" i="52"/>
  <c r="J61" i="52"/>
  <c r="AT62" i="52" l="1"/>
  <c r="AS66" i="52"/>
  <c r="AT66" i="52" s="1"/>
  <c r="AS61" i="52"/>
  <c r="AT61" i="52" s="1"/>
  <c r="AS65" i="52"/>
  <c r="AT65" i="52" s="1"/>
  <c r="Z61" i="52"/>
  <c r="AS64" i="52"/>
  <c r="AT64" i="52" s="1"/>
  <c r="AS63" i="52"/>
  <c r="AT63" i="52" s="1"/>
  <c r="AS67" i="52"/>
  <c r="AT67" i="52" s="1"/>
  <c r="D68" i="52" l="1"/>
  <c r="E68" i="52"/>
  <c r="F68" i="52"/>
  <c r="G68" i="52"/>
  <c r="H68" i="52"/>
  <c r="I68" i="52"/>
  <c r="K68" i="52"/>
  <c r="L68" i="52"/>
  <c r="M68" i="52"/>
  <c r="N68" i="52"/>
  <c r="O68" i="52"/>
  <c r="P68" i="52"/>
  <c r="Q68" i="52"/>
  <c r="R68" i="52"/>
  <c r="S68" i="52"/>
  <c r="T68" i="52"/>
  <c r="U68" i="52"/>
  <c r="V68" i="52"/>
  <c r="W68" i="52"/>
  <c r="AA68" i="52"/>
  <c r="AB68" i="52"/>
  <c r="AC68" i="52"/>
  <c r="AE68" i="52"/>
  <c r="AF68" i="52"/>
  <c r="AG68" i="52"/>
  <c r="AI68" i="52"/>
  <c r="AJ68" i="52"/>
  <c r="AK68" i="52"/>
  <c r="AM68" i="52"/>
  <c r="AN68" i="52"/>
  <c r="AO68" i="52"/>
  <c r="D69" i="52"/>
  <c r="E69" i="52"/>
  <c r="F69" i="52"/>
  <c r="G69" i="52"/>
  <c r="H69" i="52"/>
  <c r="I69" i="52"/>
  <c r="K69" i="52"/>
  <c r="L69" i="52"/>
  <c r="M69" i="52"/>
  <c r="N69" i="52"/>
  <c r="O69" i="52"/>
  <c r="P69" i="52"/>
  <c r="Q69" i="52"/>
  <c r="R69" i="52"/>
  <c r="S69" i="52"/>
  <c r="T69" i="52"/>
  <c r="U69" i="52"/>
  <c r="V69" i="52"/>
  <c r="W69" i="52"/>
  <c r="AA69" i="52"/>
  <c r="AB69" i="52"/>
  <c r="AC69" i="52"/>
  <c r="AE69" i="52"/>
  <c r="AF69" i="52"/>
  <c r="AG69" i="52"/>
  <c r="AI69" i="52"/>
  <c r="AJ69" i="52"/>
  <c r="AK69" i="52"/>
  <c r="AM69" i="52"/>
  <c r="AN69" i="52"/>
  <c r="AO69" i="52"/>
  <c r="C68" i="52"/>
  <c r="C69" i="52"/>
  <c r="M71" i="52" l="1"/>
  <c r="AJ71" i="52"/>
  <c r="AN52" i="52"/>
  <c r="AJ52" i="52"/>
  <c r="AF52" i="52"/>
  <c r="AB52" i="52"/>
  <c r="D52" i="52"/>
  <c r="AC71" i="52"/>
  <c r="AO71" i="52"/>
  <c r="E71" i="52"/>
  <c r="O71" i="52"/>
  <c r="F71" i="52"/>
  <c r="C52" i="52"/>
  <c r="U71" i="52"/>
  <c r="C71" i="52"/>
  <c r="AM52" i="52"/>
  <c r="AI52" i="52"/>
  <c r="AE52" i="52"/>
  <c r="AA52" i="52"/>
  <c r="AO52" i="52"/>
  <c r="AK52" i="52"/>
  <c r="AG52" i="52"/>
  <c r="AC52" i="52"/>
  <c r="E52" i="52"/>
  <c r="V71" i="52"/>
  <c r="R71" i="52"/>
  <c r="N71" i="52"/>
  <c r="AK71" i="52"/>
  <c r="AG71" i="52"/>
  <c r="Q71" i="52"/>
  <c r="I71" i="52"/>
  <c r="AN71" i="52"/>
  <c r="AF71" i="52"/>
  <c r="AB71" i="52"/>
  <c r="T71" i="52"/>
  <c r="P71" i="52"/>
  <c r="L71" i="52"/>
  <c r="H71" i="52"/>
  <c r="D71" i="52"/>
  <c r="AM71" i="52"/>
  <c r="AI71" i="52"/>
  <c r="AE71" i="52"/>
  <c r="AA71" i="52"/>
  <c r="W71" i="52"/>
  <c r="S71" i="52"/>
  <c r="K71" i="52"/>
  <c r="G71" i="52"/>
  <c r="D38" i="52"/>
  <c r="E38" i="52"/>
  <c r="F38" i="52"/>
  <c r="G38" i="52"/>
  <c r="H38" i="52"/>
  <c r="I38" i="52"/>
  <c r="K38" i="52"/>
  <c r="L38" i="52"/>
  <c r="M38" i="52"/>
  <c r="N38" i="52"/>
  <c r="O38" i="52"/>
  <c r="P38" i="52"/>
  <c r="Q38" i="52"/>
  <c r="R38" i="52"/>
  <c r="S38" i="52"/>
  <c r="T38" i="52"/>
  <c r="U38" i="52"/>
  <c r="V38" i="52"/>
  <c r="W38" i="52"/>
  <c r="AA38" i="52"/>
  <c r="AB38" i="52"/>
  <c r="AC38" i="52"/>
  <c r="AE38" i="52"/>
  <c r="AF38" i="52"/>
  <c r="AG38" i="52"/>
  <c r="AI38" i="52"/>
  <c r="AJ38" i="52"/>
  <c r="AK38" i="52"/>
  <c r="AM38" i="52"/>
  <c r="AN38" i="52"/>
  <c r="AO38" i="52"/>
  <c r="C38" i="52"/>
  <c r="X36" i="52"/>
  <c r="X69" i="52" s="1"/>
  <c r="X35" i="52"/>
  <c r="X68" i="52" s="1"/>
  <c r="X34" i="52"/>
  <c r="X33" i="52"/>
  <c r="X32" i="52"/>
  <c r="X31" i="52"/>
  <c r="X30" i="52"/>
  <c r="X29" i="52"/>
  <c r="X28" i="52"/>
  <c r="AQ36" i="52"/>
  <c r="AQ69" i="52" s="1"/>
  <c r="AR35" i="52"/>
  <c r="AR68" i="52" s="1"/>
  <c r="AQ35" i="52"/>
  <c r="AQ68" i="52" s="1"/>
  <c r="AP36" i="52"/>
  <c r="AP69" i="52" s="1"/>
  <c r="AP35" i="52"/>
  <c r="AP68" i="52" s="1"/>
  <c r="AP34" i="52"/>
  <c r="AP33" i="52"/>
  <c r="AP32" i="52"/>
  <c r="AP31" i="52"/>
  <c r="AP30" i="52"/>
  <c r="AP29" i="52"/>
  <c r="AP28" i="52"/>
  <c r="AL36" i="52"/>
  <c r="AL69" i="52" s="1"/>
  <c r="AL35" i="52"/>
  <c r="AL68" i="52" s="1"/>
  <c r="AL34" i="52"/>
  <c r="AL33" i="52"/>
  <c r="AL32" i="52"/>
  <c r="AL31" i="52"/>
  <c r="AL30" i="52"/>
  <c r="AL29" i="52"/>
  <c r="AL28" i="52"/>
  <c r="AH36" i="52"/>
  <c r="AH69" i="52" s="1"/>
  <c r="AH35" i="52"/>
  <c r="AH68" i="52" s="1"/>
  <c r="AH34" i="52"/>
  <c r="AH33" i="52"/>
  <c r="AH32" i="52"/>
  <c r="AH31" i="52"/>
  <c r="AH30" i="52"/>
  <c r="AH29" i="52"/>
  <c r="AH28" i="52"/>
  <c r="AD36" i="52"/>
  <c r="AD69" i="52" s="1"/>
  <c r="J36" i="52"/>
  <c r="J69" i="52" s="1"/>
  <c r="Y36" i="52"/>
  <c r="Y69" i="52" s="1"/>
  <c r="AD35" i="52"/>
  <c r="AD68" i="52" s="1"/>
  <c r="J35" i="52"/>
  <c r="J68" i="52" s="1"/>
  <c r="Y35" i="52"/>
  <c r="Y68" i="52" s="1"/>
  <c r="X38" i="52" l="1"/>
  <c r="Z35" i="52"/>
  <c r="Z68" i="52" s="1"/>
  <c r="AP71" i="52"/>
  <c r="AL38" i="52"/>
  <c r="AS35" i="52"/>
  <c r="AS68" i="52" s="1"/>
  <c r="AH38" i="52"/>
  <c r="AP38" i="52"/>
  <c r="X71" i="52"/>
  <c r="AH71" i="52"/>
  <c r="AL71" i="52"/>
  <c r="AR36" i="52"/>
  <c r="AR69" i="52" s="1"/>
  <c r="Z36" i="52"/>
  <c r="Z69" i="52" s="1"/>
  <c r="AS36" i="52"/>
  <c r="AS69" i="52" s="1"/>
  <c r="Q18" i="52"/>
  <c r="Q50" i="52" s="1"/>
  <c r="P18" i="52"/>
  <c r="P50" i="52" s="1"/>
  <c r="P15" i="52"/>
  <c r="P47" i="52" s="1"/>
  <c r="Q15" i="52"/>
  <c r="Q47" i="52" s="1"/>
  <c r="AT35" i="52" l="1"/>
  <c r="AT68" i="52" s="1"/>
  <c r="AT36" i="52"/>
  <c r="AT69" i="52" s="1"/>
  <c r="O18" i="52" l="1"/>
  <c r="O50" i="52" s="1"/>
  <c r="R50" i="52" s="1"/>
  <c r="S17" i="24" s="1"/>
  <c r="I18" i="52"/>
  <c r="I50" i="52" s="1"/>
  <c r="H18" i="52"/>
  <c r="H50" i="52" s="1"/>
  <c r="R18" i="52" l="1"/>
  <c r="G18" i="52"/>
  <c r="G50" i="52" s="1"/>
  <c r="M18" i="52"/>
  <c r="M50" i="52" s="1"/>
  <c r="L18" i="52"/>
  <c r="L50" i="52" s="1"/>
  <c r="J50" i="52" l="1"/>
  <c r="Q17" i="24" s="1"/>
  <c r="K18" i="52"/>
  <c r="K50" i="52" s="1"/>
  <c r="N50" i="52" s="1"/>
  <c r="R17" i="24" s="1"/>
  <c r="T18" i="52" l="1"/>
  <c r="T50" i="52" s="1"/>
  <c r="X50" i="52" s="1"/>
  <c r="AR50" i="52" s="1"/>
  <c r="U18" i="52"/>
  <c r="U50" i="52" s="1"/>
  <c r="Y50" i="52" s="1"/>
  <c r="AS50" i="52" s="1"/>
  <c r="S18" i="52"/>
  <c r="S50" i="52" s="1"/>
  <c r="V50" i="52" s="1"/>
  <c r="T17" i="24" s="1"/>
  <c r="W50" i="52" l="1"/>
  <c r="L17" i="52"/>
  <c r="L49" i="52" s="1"/>
  <c r="I17" i="52"/>
  <c r="I49" i="52" s="1"/>
  <c r="H17" i="52"/>
  <c r="H49" i="52" s="1"/>
  <c r="M17" i="52"/>
  <c r="M49" i="52" s="1"/>
  <c r="V17" i="52"/>
  <c r="V18" i="52"/>
  <c r="R16" i="52"/>
  <c r="R17" i="52"/>
  <c r="J16" i="52"/>
  <c r="J18" i="52"/>
  <c r="N16" i="52"/>
  <c r="N18" i="52"/>
  <c r="U16" i="52"/>
  <c r="T16" i="52"/>
  <c r="S16" i="52"/>
  <c r="K15" i="52"/>
  <c r="K47" i="52" s="1"/>
  <c r="G15" i="52"/>
  <c r="G47" i="52" s="1"/>
  <c r="O15" i="52"/>
  <c r="H15" i="52"/>
  <c r="H47" i="52" s="1"/>
  <c r="I15" i="52"/>
  <c r="I47" i="52" s="1"/>
  <c r="M15" i="52"/>
  <c r="M47" i="52" s="1"/>
  <c r="L15" i="52"/>
  <c r="L47" i="52" s="1"/>
  <c r="J49" i="52" l="1"/>
  <c r="Q16" i="24" s="1"/>
  <c r="X49" i="52"/>
  <c r="J47" i="52"/>
  <c r="Q14" i="24" s="1"/>
  <c r="N47" i="52"/>
  <c r="R14" i="24" s="1"/>
  <c r="J17" i="52"/>
  <c r="Y49" i="52"/>
  <c r="AS49" i="52" s="1"/>
  <c r="O47" i="52"/>
  <c r="R47" i="52" s="1"/>
  <c r="S14" i="24" s="1"/>
  <c r="N15" i="52"/>
  <c r="N49" i="52"/>
  <c r="R16" i="24" s="1"/>
  <c r="AQ50" i="52"/>
  <c r="AT50" i="52" s="1"/>
  <c r="Z17" i="24" s="1"/>
  <c r="Z50" i="52"/>
  <c r="U17" i="24" s="1"/>
  <c r="R15" i="52"/>
  <c r="J15" i="52"/>
  <c r="N17" i="52"/>
  <c r="V16" i="52"/>
  <c r="U15" i="52"/>
  <c r="U47" i="52" s="1"/>
  <c r="Y47" i="52" s="1"/>
  <c r="AS47" i="52" s="1"/>
  <c r="T15" i="52"/>
  <c r="T47" i="52" s="1"/>
  <c r="X47" i="52" s="1"/>
  <c r="AR47" i="52" s="1"/>
  <c r="S15" i="52"/>
  <c r="S47" i="52" s="1"/>
  <c r="V47" i="52" s="1"/>
  <c r="T14" i="24" s="1"/>
  <c r="W47" i="52" l="1"/>
  <c r="O52" i="52"/>
  <c r="AR49" i="52"/>
  <c r="AT49" i="52" s="1"/>
  <c r="Z16" i="24" s="1"/>
  <c r="Z49" i="52"/>
  <c r="U16" i="24" s="1"/>
  <c r="W15" i="52"/>
  <c r="V15" i="52"/>
  <c r="I14" i="52"/>
  <c r="H14" i="52"/>
  <c r="M14" i="52"/>
  <c r="L14" i="52"/>
  <c r="K14" i="52"/>
  <c r="G14" i="52"/>
  <c r="Q14" i="52"/>
  <c r="P14" i="52"/>
  <c r="U14" i="52"/>
  <c r="S14" i="52"/>
  <c r="S46" i="52" s="1"/>
  <c r="U46" i="52" l="1"/>
  <c r="U52" i="52" s="1"/>
  <c r="P52" i="52"/>
  <c r="P46" i="52"/>
  <c r="I52" i="52"/>
  <c r="I46" i="52"/>
  <c r="Y46" i="52" s="1"/>
  <c r="AS46" i="52" s="1"/>
  <c r="V46" i="52"/>
  <c r="T13" i="24" s="1"/>
  <c r="M52" i="52"/>
  <c r="M46" i="52"/>
  <c r="R14" i="52"/>
  <c r="Q46" i="52"/>
  <c r="Q52" i="52" s="1"/>
  <c r="G46" i="52"/>
  <c r="K46" i="52"/>
  <c r="N46" i="52" s="1"/>
  <c r="R13" i="24" s="1"/>
  <c r="L46" i="52"/>
  <c r="L52" i="52" s="1"/>
  <c r="T14" i="52"/>
  <c r="T46" i="52" s="1"/>
  <c r="T52" i="52" s="1"/>
  <c r="H46" i="52"/>
  <c r="X46" i="52" s="1"/>
  <c r="AR46" i="52" s="1"/>
  <c r="Z47" i="52"/>
  <c r="U14" i="24" s="1"/>
  <c r="AQ47" i="52"/>
  <c r="AT47" i="52" s="1"/>
  <c r="Z14" i="24" s="1"/>
  <c r="X14" i="52"/>
  <c r="J14" i="52"/>
  <c r="S52" i="52"/>
  <c r="N14" i="52"/>
  <c r="AQ15" i="52"/>
  <c r="V14" i="52"/>
  <c r="V52" i="52" s="1"/>
  <c r="W14" i="52"/>
  <c r="K52" i="52" l="1"/>
  <c r="J46" i="52"/>
  <c r="Q13" i="24" s="1"/>
  <c r="W46" i="52"/>
  <c r="N52" i="52"/>
  <c r="R46" i="52"/>
  <c r="S13" i="24" s="1"/>
  <c r="G52" i="52"/>
  <c r="H52" i="52"/>
  <c r="J52" i="52"/>
  <c r="R52" i="52"/>
  <c r="AR14" i="52"/>
  <c r="AQ14" i="52"/>
  <c r="Y15" i="52"/>
  <c r="Y16" i="52"/>
  <c r="Y17" i="52"/>
  <c r="Y18" i="52"/>
  <c r="X15" i="52"/>
  <c r="X16" i="52"/>
  <c r="X17" i="52"/>
  <c r="X18" i="52"/>
  <c r="W16" i="52"/>
  <c r="W17" i="52"/>
  <c r="W18" i="52"/>
  <c r="Y14" i="52"/>
  <c r="Z46" i="52" l="1"/>
  <c r="U13" i="24" s="1"/>
  <c r="AQ46" i="52"/>
  <c r="AT46" i="52" s="1"/>
  <c r="Z13" i="24" s="1"/>
  <c r="AS14" i="52"/>
  <c r="AR18" i="52"/>
  <c r="AS18" i="52"/>
  <c r="AQ18" i="52"/>
  <c r="AR17" i="52"/>
  <c r="AS17" i="52"/>
  <c r="AQ17" i="52"/>
  <c r="AQ52" i="52" s="1"/>
  <c r="AR16" i="52"/>
  <c r="AS16" i="52"/>
  <c r="AQ16" i="52"/>
  <c r="AR15" i="52"/>
  <c r="AR52" i="52" s="1"/>
  <c r="AS15" i="52"/>
  <c r="Z14" i="52"/>
  <c r="Z52" i="52" s="1"/>
  <c r="Z18" i="52"/>
  <c r="Z17" i="52"/>
  <c r="Z16" i="52"/>
  <c r="Y20" i="52"/>
  <c r="Z15" i="52"/>
  <c r="X20" i="52"/>
  <c r="W20" i="52"/>
  <c r="H15" i="24"/>
  <c r="U20" i="52"/>
  <c r="M20" i="52"/>
  <c r="E16" i="24"/>
  <c r="I20" i="52"/>
  <c r="H14" i="24"/>
  <c r="S20" i="52"/>
  <c r="Q20" i="52"/>
  <c r="P20" i="52"/>
  <c r="O20" i="52"/>
  <c r="L20" i="52"/>
  <c r="K20" i="52"/>
  <c r="G20" i="52"/>
  <c r="E14" i="24"/>
  <c r="F17" i="24"/>
  <c r="F16" i="24"/>
  <c r="F14" i="24"/>
  <c r="H13" i="24"/>
  <c r="F13" i="24"/>
  <c r="X52" i="52" l="1"/>
  <c r="W52" i="52"/>
  <c r="Y52" i="52"/>
  <c r="AS52" i="52"/>
  <c r="G13" i="24"/>
  <c r="E13" i="24"/>
  <c r="E15" i="24"/>
  <c r="F15" i="24"/>
  <c r="G16" i="24"/>
  <c r="H16" i="24"/>
  <c r="G17" i="24"/>
  <c r="G15" i="24"/>
  <c r="G14" i="24"/>
  <c r="E17" i="24"/>
  <c r="H20" i="52"/>
  <c r="R20" i="52"/>
  <c r="N20" i="52"/>
  <c r="J20" i="52"/>
  <c r="T20" i="52"/>
  <c r="H17" i="24" l="1"/>
  <c r="V20" i="52"/>
  <c r="AQ34" i="52"/>
  <c r="AQ33" i="52"/>
  <c r="AQ32" i="52"/>
  <c r="AQ31" i="52"/>
  <c r="AQ30" i="52"/>
  <c r="AQ29" i="52"/>
  <c r="AR34" i="52"/>
  <c r="AR33" i="52"/>
  <c r="AR32" i="52"/>
  <c r="AR31" i="52"/>
  <c r="AR30" i="52"/>
  <c r="AR29" i="52"/>
  <c r="AR28" i="52"/>
  <c r="AQ28" i="52"/>
  <c r="AQ38" i="52" l="1"/>
  <c r="AR71" i="52"/>
  <c r="AQ71" i="52"/>
  <c r="AR38" i="52"/>
  <c r="AD34" i="52"/>
  <c r="AD33" i="52"/>
  <c r="AD32" i="52"/>
  <c r="AD31" i="52"/>
  <c r="J34" i="52"/>
  <c r="Y34" i="52"/>
  <c r="J33" i="52"/>
  <c r="Y33" i="52"/>
  <c r="J32" i="52"/>
  <c r="Y32" i="52"/>
  <c r="AD29" i="52"/>
  <c r="AD30" i="52"/>
  <c r="Y29" i="52"/>
  <c r="Y30" i="52"/>
  <c r="Y31" i="52"/>
  <c r="J29" i="52"/>
  <c r="J30" i="52"/>
  <c r="J31" i="52"/>
  <c r="AD28" i="52"/>
  <c r="Y28" i="52"/>
  <c r="J28" i="52"/>
  <c r="Y71" i="52" l="1"/>
  <c r="J38" i="52"/>
  <c r="Y38" i="52"/>
  <c r="J71" i="52"/>
  <c r="AD38" i="52"/>
  <c r="AD71" i="52"/>
  <c r="Z33" i="52"/>
  <c r="AS33" i="52"/>
  <c r="Z29" i="52"/>
  <c r="AS29" i="52"/>
  <c r="Z32" i="52"/>
  <c r="AS32" i="52"/>
  <c r="Z31" i="52"/>
  <c r="AS31" i="52"/>
  <c r="Z34" i="52"/>
  <c r="AS34" i="52"/>
  <c r="Z28" i="52"/>
  <c r="AS28" i="52"/>
  <c r="Z30" i="52"/>
  <c r="AS30" i="52"/>
  <c r="Z38" i="52" l="1"/>
  <c r="AS38" i="52"/>
  <c r="AS71" i="52"/>
  <c r="Z71" i="52"/>
  <c r="AT32" i="52"/>
  <c r="AT33" i="52"/>
  <c r="AT30" i="52"/>
  <c r="AT34" i="52"/>
  <c r="AT28" i="52"/>
  <c r="AT31" i="52"/>
  <c r="AT29" i="52"/>
  <c r="AT38" i="52" l="1"/>
  <c r="AT71" i="52"/>
  <c r="AD18" i="52"/>
  <c r="AP15" i="52"/>
  <c r="AP16" i="52"/>
  <c r="AP17" i="52"/>
  <c r="AP18" i="52"/>
  <c r="AP14" i="52"/>
  <c r="AL15" i="52"/>
  <c r="AL16" i="52"/>
  <c r="AL17" i="52"/>
  <c r="AL18" i="52"/>
  <c r="AL14" i="52"/>
  <c r="AH15" i="52"/>
  <c r="AH16" i="52"/>
  <c r="AH17" i="52"/>
  <c r="AH18" i="52"/>
  <c r="AH14" i="52"/>
  <c r="AD15" i="52"/>
  <c r="AD16" i="52"/>
  <c r="AD17" i="52"/>
  <c r="AD14" i="52"/>
  <c r="F15" i="52"/>
  <c r="F16" i="52"/>
  <c r="D15" i="24" s="1"/>
  <c r="F17" i="52"/>
  <c r="F18" i="52"/>
  <c r="F14" i="52"/>
  <c r="D13" i="24" s="1"/>
  <c r="D20" i="52"/>
  <c r="E20" i="52"/>
  <c r="AA20" i="52"/>
  <c r="AB20" i="52"/>
  <c r="AC20" i="52"/>
  <c r="AE20" i="52"/>
  <c r="AF20" i="52"/>
  <c r="AG20" i="52"/>
  <c r="AI20" i="52"/>
  <c r="AJ20" i="52"/>
  <c r="AK20" i="52"/>
  <c r="AM20" i="52"/>
  <c r="AN20" i="52"/>
  <c r="AO20" i="52"/>
  <c r="C20" i="52"/>
  <c r="J16" i="24" l="1"/>
  <c r="M15" i="24"/>
  <c r="J15" i="24"/>
  <c r="K16" i="24"/>
  <c r="L17" i="24"/>
  <c r="M13" i="24"/>
  <c r="M14" i="24"/>
  <c r="K17" i="24"/>
  <c r="L13" i="24"/>
  <c r="F52" i="52"/>
  <c r="J14" i="24"/>
  <c r="K15" i="24"/>
  <c r="L16" i="24"/>
  <c r="M17" i="24"/>
  <c r="J17" i="24"/>
  <c r="L14" i="24"/>
  <c r="J13" i="24"/>
  <c r="AD52" i="52"/>
  <c r="K13" i="24"/>
  <c r="K14" i="24"/>
  <c r="L15" i="24"/>
  <c r="M16" i="24"/>
  <c r="AT15" i="52"/>
  <c r="I13" i="24"/>
  <c r="I16" i="24"/>
  <c r="I14" i="24"/>
  <c r="I15" i="24"/>
  <c r="AT18" i="52"/>
  <c r="I17" i="24"/>
  <c r="AT17" i="52"/>
  <c r="AT16" i="52"/>
  <c r="AS20" i="52"/>
  <c r="AR20" i="52"/>
  <c r="AT14" i="52"/>
  <c r="AQ20" i="52"/>
  <c r="Z20" i="52"/>
  <c r="AP20" i="52"/>
  <c r="AH20" i="52"/>
  <c r="AL20" i="52"/>
  <c r="F20" i="52"/>
  <c r="E19" i="24"/>
  <c r="F19" i="24"/>
  <c r="G19" i="24"/>
  <c r="H19" i="24"/>
  <c r="C19" i="24"/>
  <c r="D14" i="24"/>
  <c r="D16" i="24"/>
  <c r="D17" i="24"/>
  <c r="AH52" i="52" l="1"/>
  <c r="N17" i="24"/>
  <c r="AT52" i="52"/>
  <c r="AP52" i="52"/>
  <c r="AL52" i="52"/>
  <c r="N16" i="24"/>
  <c r="N13" i="24"/>
  <c r="N15" i="24"/>
  <c r="N14" i="24"/>
  <c r="I19" i="24"/>
  <c r="S19" i="24"/>
  <c r="U19" i="24"/>
  <c r="O16" i="24"/>
  <c r="Q19" i="24"/>
  <c r="T19" i="24"/>
  <c r="O14" i="24"/>
  <c r="O17" i="24"/>
  <c r="AT20" i="52"/>
  <c r="D19" i="24"/>
  <c r="Y19" i="24"/>
  <c r="L19" i="24"/>
  <c r="X19" i="24"/>
  <c r="W19" i="24"/>
  <c r="K19" i="24"/>
  <c r="J19" i="24"/>
  <c r="AD20" i="52"/>
  <c r="R19" i="24"/>
  <c r="M19" i="24"/>
  <c r="O13" i="24"/>
  <c r="P19" i="24" l="1"/>
  <c r="AA19" i="24" s="1"/>
  <c r="O19" i="24"/>
  <c r="V19" i="24"/>
  <c r="N19" i="24"/>
  <c r="Z19" i="24"/>
</calcChain>
</file>

<file path=xl/sharedStrings.xml><?xml version="1.0" encoding="utf-8"?>
<sst xmlns="http://schemas.openxmlformats.org/spreadsheetml/2006/main" count="371" uniqueCount="69">
  <si>
    <t>TOTAL</t>
  </si>
  <si>
    <t>EJERCIDO</t>
  </si>
  <si>
    <t>METAS</t>
  </si>
  <si>
    <t>PRESUPUESTO AUTORIZADO</t>
  </si>
  <si>
    <t>AMPLIACIÓN</t>
  </si>
  <si>
    <t>REDUCCIÓN</t>
  </si>
  <si>
    <t>UNIDAD DE MEDIDA</t>
  </si>
  <si>
    <t>DEVENGADO</t>
  </si>
  <si>
    <t>%</t>
  </si>
  <si>
    <t>REALIZADAS</t>
  </si>
  <si>
    <t>POR REALIZAR</t>
  </si>
  <si>
    <t>PAGADO</t>
  </si>
  <si>
    <t>COMPROMETIDO</t>
  </si>
  <si>
    <t>PROGRAMADO</t>
  </si>
  <si>
    <t>NO.</t>
  </si>
  <si>
    <t>PROYECTO</t>
  </si>
  <si>
    <t>PROPIOS</t>
  </si>
  <si>
    <t>ESTATAL</t>
  </si>
  <si>
    <t>FEDERAL</t>
  </si>
  <si>
    <t>MODIFICADO</t>
  </si>
  <si>
    <t>MODIFICADAS</t>
  </si>
  <si>
    <t>ACUMULADO</t>
  </si>
  <si>
    <t xml:space="preserve"> PROGRAMA OPERATIVO ANUAL </t>
  </si>
  <si>
    <t>ACUMULADAS</t>
  </si>
  <si>
    <t>PROGRAMADAS</t>
  </si>
  <si>
    <t xml:space="preserve">PROGRAMADO </t>
  </si>
  <si>
    <t>PROGRAMA OPERATIVO ANUAL</t>
  </si>
  <si>
    <t xml:space="preserve"> PROGRAMA OPERATIVO ANUAL POR FUENTE DE FINANCIAMIENTO</t>
  </si>
  <si>
    <t>UCEEP-09</t>
  </si>
  <si>
    <t>PRESUPUESTO ANUAL</t>
  </si>
  <si>
    <t>METAS ANUALES</t>
  </si>
  <si>
    <t>VARIACIÓN</t>
  </si>
  <si>
    <t>EVALUACIÓN PROGRAMATICA-PRESUPUESTAL</t>
  </si>
  <si>
    <t>UCEEP-09-1</t>
  </si>
  <si>
    <t>UNIVERSIDAD TECNOLÓGICA DE TULANCINGO</t>
  </si>
  <si>
    <t>Convenio firmado</t>
  </si>
  <si>
    <t>Evento Realizado</t>
  </si>
  <si>
    <t>Protocolizado / Investigación realizada</t>
  </si>
  <si>
    <t>Sistema en operación</t>
  </si>
  <si>
    <t>Evalución realizada</t>
  </si>
  <si>
    <t>TRANSFERENCIAS</t>
  </si>
  <si>
    <t>RECALENDARIZACIONES</t>
  </si>
  <si>
    <t>APOYO MADRES MEXICANAS 2016</t>
  </si>
  <si>
    <t>Elaboró:</t>
  </si>
  <si>
    <t>Revisó:</t>
  </si>
  <si>
    <t>Autorizó:</t>
  </si>
  <si>
    <t>L.C. Liliana Reyes Kanhan</t>
  </si>
  <si>
    <t>Jefe Depto. Programación y Presupuesto</t>
  </si>
  <si>
    <t>Rector</t>
  </si>
  <si>
    <t>PRODEP</t>
  </si>
  <si>
    <t>APOYO MADRES MEXICANAS 2017</t>
  </si>
  <si>
    <t>SUBSIDIO FEDERAL 2016</t>
  </si>
  <si>
    <t>PRODEP 2018</t>
  </si>
  <si>
    <t>PIEE 2018</t>
  </si>
  <si>
    <t>PADES 2018</t>
  </si>
  <si>
    <t>M.A. Oris Estela Vargas García</t>
  </si>
  <si>
    <t>Encargada de la Dirección de Administración y Finanzas</t>
  </si>
  <si>
    <t>Mtro. José Antonio Zamora Guido</t>
  </si>
  <si>
    <t>SERVICIOS DE EXTENSIÓN Y VINCULACIÓN DE EDUCACIÓN SUPERIOR OTORGADOS</t>
  </si>
  <si>
    <t>EDUCACIÓN SUPERIOR DE CALIDAD A ESTUDIANTES OTORGADA</t>
  </si>
  <si>
    <t>INVESTIGACIÓN CIENTÍFICA, TECNOLÓGICA Y EDUCATIVA REALIZADA</t>
  </si>
  <si>
    <t>PROCESOS DE PLANEACIÓN ESTRATEGICA Y EVALUACIÓN IMPLEMENTADOS</t>
  </si>
  <si>
    <t>PROGRAMA DE GESTIÓN ADMINISTRATIVA DE LAS INSTITUCIONES DE EDUCIÓN SUPERIOR EJECUTADO</t>
  </si>
  <si>
    <t>2DO. TRIMESTRE</t>
  </si>
  <si>
    <r>
      <t xml:space="preserve">DEL </t>
    </r>
    <r>
      <rPr>
        <b/>
        <sz val="9"/>
        <color rgb="FFFF0000"/>
        <rFont val="Arial Narrow"/>
        <family val="2"/>
      </rPr>
      <t>1 DE ENERO AL 30 DE JUNIO DE 2019</t>
    </r>
  </si>
  <si>
    <t>2DO TRIMESTRES</t>
  </si>
  <si>
    <t>DERECHOS POR LA PUBLICACION DE LAS REGLAS DE OPERACIÓN</t>
  </si>
  <si>
    <t>SUELDO RECTOR</t>
  </si>
  <si>
    <t>** La meta de este proyecto se refiere al número de estudiantes vigentes en el periodo que se informa, NO ES META ACUMULATIVA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</si>
</sst>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.00"/>
    <numFmt numFmtId="166" formatCode="_-&quot;$&quot;* #,##0_-;\-&quot;$&quot;* #,##0_-;_-&quot;$&quot;* &quot;-&quot;??_-;_-@_-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8"/>
      <name val="Arial "/>
    </font>
    <font>
      <b/>
      <sz val="8"/>
      <name val="Arial Narrow"/>
      <family val="2"/>
    </font>
    <font>
      <sz val="9"/>
      <color theme="0"/>
      <name val="Arial Narrow"/>
      <family val="2"/>
    </font>
    <font>
      <sz val="8"/>
      <name val="Calibri"/>
      <family val="2"/>
      <scheme val="minor"/>
    </font>
    <font>
      <b/>
      <sz val="8"/>
      <color indexed="8"/>
      <name val="Arial Narrow"/>
      <family val="2"/>
    </font>
    <font>
      <sz val="9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43" fontId="5" fillId="2" borderId="0" applyFill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4" fillId="0" borderId="0" xfId="5" applyFont="1"/>
    <xf numFmtId="0" fontId="4" fillId="0" borderId="1" xfId="5" applyFont="1" applyBorder="1"/>
    <xf numFmtId="0" fontId="3" fillId="0" borderId="0" xfId="0" applyFont="1"/>
    <xf numFmtId="0" fontId="4" fillId="0" borderId="9" xfId="5" applyFont="1" applyBorder="1"/>
    <xf numFmtId="0" fontId="3" fillId="0" borderId="15" xfId="5" applyFont="1" applyBorder="1" applyAlignment="1">
      <alignment horizontal="center"/>
    </xf>
    <xf numFmtId="0" fontId="3" fillId="3" borderId="5" xfId="5" applyFont="1" applyFill="1" applyBorder="1" applyAlignment="1">
      <alignment horizontal="center" vertical="center" wrapText="1"/>
    </xf>
    <xf numFmtId="0" fontId="3" fillId="0" borderId="15" xfId="5" applyFont="1" applyBorder="1"/>
    <xf numFmtId="0" fontId="3" fillId="0" borderId="0" xfId="0" applyFont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4" fillId="0" borderId="2" xfId="9" applyNumberFormat="1" applyFont="1" applyBorder="1" applyAlignment="1">
      <alignment horizontal="center" vertical="center"/>
    </xf>
    <xf numFmtId="0" fontId="4" fillId="0" borderId="10" xfId="9" applyNumberFormat="1" applyFont="1" applyBorder="1" applyAlignment="1">
      <alignment horizontal="center" vertical="center"/>
    </xf>
    <xf numFmtId="0" fontId="4" fillId="0" borderId="11" xfId="9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9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4" fontId="3" fillId="0" borderId="12" xfId="12" applyNumberFormat="1" applyFont="1" applyBorder="1" applyAlignment="1">
      <alignment horizontal="center"/>
    </xf>
    <xf numFmtId="44" fontId="4" fillId="0" borderId="1" xfId="12" applyNumberFormat="1" applyFont="1" applyBorder="1"/>
    <xf numFmtId="44" fontId="4" fillId="0" borderId="12" xfId="12" applyNumberFormat="1" applyFont="1" applyBorder="1" applyAlignment="1">
      <alignment horizontal="center"/>
    </xf>
    <xf numFmtId="44" fontId="3" fillId="0" borderId="15" xfId="5" applyNumberFormat="1" applyFont="1" applyBorder="1" applyAlignment="1">
      <alignment horizontal="center"/>
    </xf>
    <xf numFmtId="165" fontId="3" fillId="0" borderId="15" xfId="5" applyNumberFormat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10" fontId="4" fillId="0" borderId="1" xfId="9" applyNumberFormat="1" applyFont="1" applyBorder="1" applyAlignment="1">
      <alignment horizontal="center" vertical="center"/>
    </xf>
    <xf numFmtId="0" fontId="3" fillId="0" borderId="12" xfId="5" applyFont="1" applyBorder="1" applyAlignment="1">
      <alignment horizontal="left" vertical="center" wrapText="1"/>
    </xf>
    <xf numFmtId="0" fontId="3" fillId="0" borderId="9" xfId="5" applyFont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12" fillId="0" borderId="0" xfId="0" applyFont="1" applyFill="1" applyAlignment="1">
      <alignment horizontal="left" vertical="center" wrapText="1"/>
    </xf>
    <xf numFmtId="4" fontId="3" fillId="0" borderId="0" xfId="0" applyNumberFormat="1" applyFont="1" applyAlignment="1">
      <alignment vertical="center" wrapText="1"/>
    </xf>
    <xf numFmtId="44" fontId="4" fillId="0" borderId="1" xfId="3" applyFont="1" applyBorder="1" applyAlignment="1">
      <alignment horizontal="center" vertical="center"/>
    </xf>
    <xf numFmtId="44" fontId="4" fillId="0" borderId="22" xfId="3" applyFont="1" applyBorder="1" applyAlignment="1">
      <alignment horizontal="center" vertical="center"/>
    </xf>
    <xf numFmtId="44" fontId="3" fillId="0" borderId="15" xfId="3" applyFont="1" applyBorder="1" applyAlignment="1">
      <alignment horizontal="center" vertical="center"/>
    </xf>
    <xf numFmtId="44" fontId="4" fillId="0" borderId="0" xfId="3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0" borderId="0" xfId="5" applyFont="1" applyFill="1"/>
    <xf numFmtId="0" fontId="4" fillId="0" borderId="0" xfId="0" applyFont="1" applyFill="1"/>
    <xf numFmtId="44" fontId="4" fillId="0" borderId="12" xfId="12" applyNumberFormat="1" applyFont="1" applyFill="1" applyBorder="1" applyAlignment="1">
      <alignment horizontal="center"/>
    </xf>
    <xf numFmtId="44" fontId="4" fillId="0" borderId="1" xfId="12" applyNumberFormat="1" applyFont="1" applyFill="1" applyBorder="1"/>
    <xf numFmtId="0" fontId="3" fillId="0" borderId="0" xfId="0" applyFont="1" applyFill="1" applyAlignment="1">
      <alignment vertical="center" wrapText="1"/>
    </xf>
    <xf numFmtId="164" fontId="4" fillId="0" borderId="0" xfId="5" applyNumberFormat="1" applyFont="1"/>
    <xf numFmtId="10" fontId="3" fillId="0" borderId="15" xfId="9" applyNumberFormat="1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Border="1" applyAlignment="1">
      <alignment horizontal="center"/>
    </xf>
    <xf numFmtId="44" fontId="3" fillId="0" borderId="0" xfId="5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4" fillId="0" borderId="9" xfId="1" applyNumberFormat="1" applyFont="1" applyBorder="1" applyAlignment="1">
      <alignment horizontal="center" vertical="center"/>
    </xf>
    <xf numFmtId="1" fontId="3" fillId="0" borderId="17" xfId="9" applyNumberFormat="1" applyFont="1" applyBorder="1" applyAlignment="1">
      <alignment horizontal="center" vertical="center"/>
    </xf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6" fillId="4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9" fontId="4" fillId="0" borderId="15" xfId="9" applyFont="1" applyBorder="1" applyAlignment="1">
      <alignment horizontal="center" vertical="center"/>
    </xf>
    <xf numFmtId="44" fontId="4" fillId="0" borderId="1" xfId="9" applyNumberFormat="1" applyFont="1" applyBorder="1" applyAlignment="1">
      <alignment horizontal="center" vertical="center"/>
    </xf>
    <xf numFmtId="0" fontId="4" fillId="0" borderId="24" xfId="9" applyNumberFormat="1" applyFont="1" applyBorder="1" applyAlignment="1">
      <alignment horizontal="center" vertical="center"/>
    </xf>
    <xf numFmtId="1" fontId="3" fillId="0" borderId="15" xfId="9" applyNumberFormat="1" applyFont="1" applyBorder="1" applyAlignment="1">
      <alignment horizontal="center" vertical="center"/>
    </xf>
    <xf numFmtId="43" fontId="4" fillId="0" borderId="0" xfId="0" applyNumberFormat="1" applyFont="1"/>
    <xf numFmtId="43" fontId="3" fillId="0" borderId="0" xfId="0" applyNumberFormat="1" applyFont="1" applyAlignment="1">
      <alignment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9" fontId="3" fillId="0" borderId="15" xfId="9" applyFont="1" applyBorder="1" applyAlignment="1">
      <alignment horizontal="center" vertical="center"/>
    </xf>
    <xf numFmtId="44" fontId="4" fillId="0" borderId="0" xfId="5" applyNumberFormat="1" applyFont="1"/>
    <xf numFmtId="0" fontId="3" fillId="4" borderId="17" xfId="0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vertical="center" wrapText="1"/>
    </xf>
    <xf numFmtId="165" fontId="4" fillId="0" borderId="0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right" vertical="center"/>
    </xf>
    <xf numFmtId="0" fontId="19" fillId="0" borderId="0" xfId="0" applyFont="1" applyFill="1"/>
    <xf numFmtId="165" fontId="18" fillId="0" borderId="0" xfId="3" applyNumberFormat="1" applyFont="1" applyFill="1" applyBorder="1" applyAlignment="1">
      <alignment horizontal="right" vertical="center"/>
    </xf>
    <xf numFmtId="165" fontId="19" fillId="0" borderId="0" xfId="3" applyNumberFormat="1" applyFont="1" applyFill="1" applyBorder="1" applyAlignment="1">
      <alignment horizontal="right" vertical="center"/>
    </xf>
    <xf numFmtId="0" fontId="19" fillId="0" borderId="0" xfId="5" applyFont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44" fontId="3" fillId="0" borderId="0" xfId="0" applyNumberFormat="1" applyFont="1" applyAlignment="1">
      <alignment vertical="center" wrapText="1"/>
    </xf>
    <xf numFmtId="165" fontId="4" fillId="0" borderId="0" xfId="5" applyNumberFormat="1" applyFont="1"/>
    <xf numFmtId="165" fontId="10" fillId="0" borderId="0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vertical="center"/>
    </xf>
    <xf numFmtId="165" fontId="10" fillId="0" borderId="0" xfId="3" applyNumberFormat="1" applyFont="1" applyFill="1" applyBorder="1" applyAlignment="1">
      <alignment vertical="center" wrapText="1"/>
    </xf>
    <xf numFmtId="9" fontId="4" fillId="0" borderId="0" xfId="10" applyFont="1"/>
    <xf numFmtId="10" fontId="4" fillId="0" borderId="0" xfId="10" applyNumberFormat="1" applyFont="1" applyBorder="1" applyAlignment="1">
      <alignment horizontal="center" vertical="center"/>
    </xf>
    <xf numFmtId="10" fontId="4" fillId="0" borderId="0" xfId="3" applyNumberFormat="1" applyFont="1" applyBorder="1" applyAlignment="1">
      <alignment horizontal="center" vertical="center"/>
    </xf>
    <xf numFmtId="44" fontId="4" fillId="5" borderId="1" xfId="12" applyNumberFormat="1" applyFont="1" applyFill="1" applyBorder="1" applyAlignment="1">
      <alignment horizontal="left"/>
    </xf>
    <xf numFmtId="44" fontId="3" fillId="5" borderId="12" xfId="12" applyNumberFormat="1" applyFont="1" applyFill="1" applyBorder="1" applyAlignment="1">
      <alignment horizontal="center"/>
    </xf>
    <xf numFmtId="44" fontId="4" fillId="0" borderId="1" xfId="12" applyNumberFormat="1" applyFont="1" applyBorder="1" applyAlignment="1">
      <alignment horizontal="center"/>
    </xf>
    <xf numFmtId="44" fontId="4" fillId="5" borderId="12" xfId="12" applyNumberFormat="1" applyFont="1" applyFill="1" applyBorder="1" applyAlignment="1">
      <alignment horizontal="center"/>
    </xf>
    <xf numFmtId="44" fontId="3" fillId="0" borderId="0" xfId="5" applyNumberFormat="1" applyFont="1" applyFill="1" applyBorder="1" applyAlignment="1">
      <alignment horizontal="center"/>
    </xf>
    <xf numFmtId="0" fontId="3" fillId="5" borderId="9" xfId="5" applyFont="1" applyFill="1" applyBorder="1" applyAlignment="1">
      <alignment horizontal="center" vertical="center"/>
    </xf>
    <xf numFmtId="0" fontId="3" fillId="5" borderId="12" xfId="5" applyFont="1" applyFill="1" applyBorder="1" applyAlignment="1">
      <alignment horizontal="left" vertical="center" wrapText="1"/>
    </xf>
    <xf numFmtId="0" fontId="4" fillId="5" borderId="0" xfId="5" applyFont="1" applyFill="1"/>
    <xf numFmtId="0" fontId="3" fillId="5" borderId="15" xfId="5" applyFont="1" applyFill="1" applyBorder="1"/>
    <xf numFmtId="0" fontId="3" fillId="5" borderId="15" xfId="5" applyFont="1" applyFill="1" applyBorder="1" applyAlignment="1">
      <alignment horizontal="center"/>
    </xf>
    <xf numFmtId="165" fontId="3" fillId="5" borderId="15" xfId="5" applyNumberFormat="1" applyFont="1" applyFill="1" applyBorder="1" applyAlignment="1">
      <alignment horizontal="right"/>
    </xf>
    <xf numFmtId="9" fontId="4" fillId="0" borderId="22" xfId="9" applyFont="1" applyBorder="1" applyAlignment="1">
      <alignment horizontal="center" vertical="center"/>
    </xf>
    <xf numFmtId="44" fontId="4" fillId="0" borderId="11" xfId="3" applyFont="1" applyBorder="1" applyAlignment="1">
      <alignment horizontal="center" vertical="center"/>
    </xf>
    <xf numFmtId="9" fontId="4" fillId="0" borderId="11" xfId="9" applyFont="1" applyBorder="1" applyAlignment="1">
      <alignment horizontal="center" vertical="center"/>
    </xf>
    <xf numFmtId="166" fontId="4" fillId="5" borderId="1" xfId="12" applyNumberFormat="1" applyFont="1" applyFill="1" applyBorder="1" applyAlignment="1">
      <alignment horizontal="left"/>
    </xf>
    <xf numFmtId="166" fontId="3" fillId="5" borderId="12" xfId="12" applyNumberFormat="1" applyFont="1" applyFill="1" applyBorder="1" applyAlignment="1">
      <alignment horizontal="center"/>
    </xf>
    <xf numFmtId="44" fontId="4" fillId="5" borderId="1" xfId="3" applyFont="1" applyFill="1" applyBorder="1" applyAlignment="1">
      <alignment horizontal="center" vertical="center"/>
    </xf>
    <xf numFmtId="44" fontId="4" fillId="5" borderId="1" xfId="12" applyNumberFormat="1" applyFont="1" applyFill="1" applyBorder="1"/>
    <xf numFmtId="44" fontId="3" fillId="5" borderId="15" xfId="5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4" fillId="5" borderId="12" xfId="3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44" fontId="3" fillId="5" borderId="15" xfId="5" applyNumberFormat="1" applyFont="1" applyFill="1" applyBorder="1" applyAlignment="1">
      <alignment horizontal="center" vertical="center"/>
    </xf>
    <xf numFmtId="0" fontId="15" fillId="5" borderId="10" xfId="13" applyFont="1" applyFill="1" applyBorder="1" applyAlignment="1">
      <alignment horizontal="center" vertical="center" wrapText="1"/>
    </xf>
    <xf numFmtId="10" fontId="4" fillId="5" borderId="1" xfId="9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left"/>
    </xf>
    <xf numFmtId="44" fontId="4" fillId="5" borderId="12" xfId="1" applyNumberFormat="1" applyFont="1" applyFill="1" applyBorder="1" applyAlignment="1">
      <alignment horizontal="center"/>
    </xf>
    <xf numFmtId="44" fontId="3" fillId="5" borderId="12" xfId="1" applyNumberFormat="1" applyFont="1" applyFill="1" applyBorder="1" applyAlignment="1">
      <alignment horizontal="center"/>
    </xf>
    <xf numFmtId="49" fontId="4" fillId="5" borderId="12" xfId="1" applyNumberFormat="1" applyFont="1" applyFill="1" applyBorder="1" applyAlignment="1">
      <alignment horizontal="center"/>
    </xf>
    <xf numFmtId="44" fontId="4" fillId="0" borderId="12" xfId="1" applyNumberFormat="1" applyFont="1" applyBorder="1" applyAlignment="1">
      <alignment horizontal="center"/>
    </xf>
    <xf numFmtId="44" fontId="3" fillId="0" borderId="12" xfId="1" applyNumberFormat="1" applyFont="1" applyBorder="1" applyAlignment="1">
      <alignment horizontal="center"/>
    </xf>
    <xf numFmtId="166" fontId="4" fillId="5" borderId="1" xfId="1" applyNumberFormat="1" applyFont="1" applyFill="1" applyBorder="1" applyAlignment="1">
      <alignment horizontal="left"/>
    </xf>
    <xf numFmtId="166" fontId="3" fillId="5" borderId="12" xfId="1" applyNumberFormat="1" applyFont="1" applyFill="1" applyBorder="1" applyAlignment="1">
      <alignment horizontal="center"/>
    </xf>
    <xf numFmtId="44" fontId="3" fillId="5" borderId="12" xfId="12" applyNumberFormat="1" applyFont="1" applyFill="1" applyBorder="1" applyAlignment="1">
      <alignment horizontal="center" vertical="center"/>
    </xf>
    <xf numFmtId="1" fontId="4" fillId="5" borderId="9" xfId="1" applyNumberFormat="1" applyFont="1" applyFill="1" applyBorder="1" applyAlignment="1">
      <alignment horizontal="center" vertical="center"/>
    </xf>
    <xf numFmtId="0" fontId="4" fillId="5" borderId="9" xfId="9" applyNumberFormat="1" applyFont="1" applyFill="1" applyBorder="1" applyAlignment="1">
      <alignment horizontal="center" vertical="center"/>
    </xf>
    <xf numFmtId="0" fontId="4" fillId="5" borderId="1" xfId="9" applyNumberFormat="1" applyFont="1" applyFill="1" applyBorder="1" applyAlignment="1">
      <alignment horizontal="center" vertical="center"/>
    </xf>
    <xf numFmtId="9" fontId="4" fillId="5" borderId="1" xfId="9" applyFont="1" applyFill="1" applyBorder="1" applyAlignment="1">
      <alignment horizontal="center" vertical="center"/>
    </xf>
    <xf numFmtId="1" fontId="4" fillId="5" borderId="1" xfId="9" applyNumberFormat="1" applyFont="1" applyFill="1" applyBorder="1" applyAlignment="1">
      <alignment horizontal="center" vertical="center"/>
    </xf>
    <xf numFmtId="9" fontId="4" fillId="5" borderId="23" xfId="9" applyFont="1" applyFill="1" applyBorder="1" applyAlignment="1">
      <alignment horizontal="center" vertical="center"/>
    </xf>
    <xf numFmtId="165" fontId="18" fillId="0" borderId="0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3" borderId="15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/>
    </xf>
    <xf numFmtId="0" fontId="3" fillId="3" borderId="7" xfId="5" applyFont="1" applyFill="1" applyBorder="1" applyAlignment="1">
      <alignment horizontal="center" vertical="center"/>
    </xf>
    <xf numFmtId="0" fontId="3" fillId="4" borderId="16" xfId="5" applyFont="1" applyFill="1" applyBorder="1" applyAlignment="1">
      <alignment horizontal="center" vertical="center"/>
    </xf>
    <xf numFmtId="0" fontId="3" fillId="4" borderId="17" xfId="5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 wrapText="1"/>
    </xf>
    <xf numFmtId="0" fontId="3" fillId="4" borderId="13" xfId="5" applyFont="1" applyFill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8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12" fillId="0" borderId="8" xfId="0" applyFont="1" applyFill="1" applyBorder="1" applyAlignment="1">
      <alignment horizontal="left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</cellXfs>
  <cellStyles count="14">
    <cellStyle name="Millares" xfId="12" builtinId="3"/>
    <cellStyle name="Millares 2" xfId="1"/>
    <cellStyle name="Millares 2 2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13"/>
    <cellStyle name="pedro" xfId="8"/>
    <cellStyle name="Porcentaje" xfId="9" builtinId="5"/>
    <cellStyle name="Porcentual 2" xfId="10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580779</xdr:colOff>
      <xdr:row>2</xdr:row>
      <xdr:rowOff>247650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5725"/>
          <a:ext cx="1966233" cy="514350"/>
        </a:xfrm>
        <a:prstGeom prst="rect">
          <a:avLst/>
        </a:prstGeom>
      </xdr:spPr>
    </xdr:pic>
    <xdr:clientData/>
  </xdr:twoCellAnchor>
  <xdr:twoCellAnchor>
    <xdr:from>
      <xdr:col>25</xdr:col>
      <xdr:colOff>123825</xdr:colOff>
      <xdr:row>3</xdr:row>
      <xdr:rowOff>130752</xdr:rowOff>
    </xdr:from>
    <xdr:to>
      <xdr:col>26</xdr:col>
      <xdr:colOff>428625</xdr:colOff>
      <xdr:row>5</xdr:row>
      <xdr:rowOff>14719</xdr:rowOff>
    </xdr:to>
    <xdr:sp macro="" textlink="">
      <xdr:nvSpPr>
        <xdr:cNvPr id="14" name="13 CuadroTexto"/>
        <xdr:cNvSpPr txBox="1"/>
      </xdr:nvSpPr>
      <xdr:spPr>
        <a:xfrm>
          <a:off x="19087234" y="745547"/>
          <a:ext cx="1092777" cy="230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1 de 1</a:t>
          </a:r>
        </a:p>
      </xdr:txBody>
    </xdr:sp>
    <xdr:clientData/>
  </xdr:twoCellAnchor>
  <xdr:twoCellAnchor editAs="oneCell">
    <xdr:from>
      <xdr:col>23</xdr:col>
      <xdr:colOff>428626</xdr:colOff>
      <xdr:row>0</xdr:row>
      <xdr:rowOff>66675</xdr:rowOff>
    </xdr:from>
    <xdr:to>
      <xdr:col>24</xdr:col>
      <xdr:colOff>657226</xdr:colOff>
      <xdr:row>2</xdr:row>
      <xdr:rowOff>238125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1276" y="66675"/>
          <a:ext cx="99060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1674284</xdr:colOff>
      <xdr:row>3</xdr:row>
      <xdr:rowOff>44980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893359" cy="533400"/>
        </a:xfrm>
        <a:prstGeom prst="rect">
          <a:avLst/>
        </a:prstGeom>
      </xdr:spPr>
    </xdr:pic>
    <xdr:clientData/>
  </xdr:twoCellAnchor>
  <xdr:twoCellAnchor editAs="oneCell">
    <xdr:from>
      <xdr:col>44</xdr:col>
      <xdr:colOff>361950</xdr:colOff>
      <xdr:row>0</xdr:row>
      <xdr:rowOff>47422</xdr:rowOff>
    </xdr:from>
    <xdr:to>
      <xdr:col>45</xdr:col>
      <xdr:colOff>675160</xdr:colOff>
      <xdr:row>4</xdr:row>
      <xdr:rowOff>51859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5725" y="47422"/>
          <a:ext cx="1027585" cy="705054"/>
        </a:xfrm>
        <a:prstGeom prst="rect">
          <a:avLst/>
        </a:prstGeom>
      </xdr:spPr>
    </xdr:pic>
    <xdr:clientData/>
  </xdr:twoCellAnchor>
  <xdr:twoCellAnchor>
    <xdr:from>
      <xdr:col>44</xdr:col>
      <xdr:colOff>301624</xdr:colOff>
      <xdr:row>7</xdr:row>
      <xdr:rowOff>214313</xdr:rowOff>
    </xdr:from>
    <xdr:to>
      <xdr:col>45</xdr:col>
      <xdr:colOff>680026</xdr:colOff>
      <xdr:row>9</xdr:row>
      <xdr:rowOff>2</xdr:rowOff>
    </xdr:to>
    <xdr:sp macro="" textlink="">
      <xdr:nvSpPr>
        <xdr:cNvPr id="5" name="13 CuadroTexto"/>
        <xdr:cNvSpPr txBox="1"/>
      </xdr:nvSpPr>
      <xdr:spPr>
        <a:xfrm>
          <a:off x="34186812" y="1444626"/>
          <a:ext cx="1092777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1 de 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/Documents/2019%20PyP/JUNTA%20DE%20CONSEJO%202019/1ER.%20TRIMESTRE%20ENERO%20-%20MARZO%202019%20VRfinal01julio/9.%20Evaluacion%20Programatica%20Presupuestal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EEP-09"/>
      <sheetName val="UCEEP-09-01"/>
    </sheetNames>
    <sheetDataSet>
      <sheetData sheetId="0"/>
      <sheetData sheetId="1">
        <row r="28">
          <cell r="C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E58"/>
  <sheetViews>
    <sheetView tabSelected="1" view="pageBreakPreview" zoomScaleNormal="100" zoomScaleSheetLayoutView="100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E40" sqref="E40"/>
    </sheetView>
  </sheetViews>
  <sheetFormatPr baseColWidth="10" defaultColWidth="11.453125" defaultRowHeight="11.5"/>
  <cols>
    <col min="1" max="1" width="13.54296875" style="1" customWidth="1"/>
    <col min="2" max="2" width="9.26953125" style="1" customWidth="1"/>
    <col min="3" max="3" width="11.453125" style="1" customWidth="1"/>
    <col min="4" max="4" width="12.26953125" style="1" customWidth="1"/>
    <col min="5" max="5" width="11" style="1" customWidth="1"/>
    <col min="6" max="6" width="10.26953125" style="1" customWidth="1"/>
    <col min="7" max="8" width="11.26953125" style="1" customWidth="1"/>
    <col min="9" max="13" width="12" style="1" customWidth="1"/>
    <col min="14" max="14" width="10.81640625" style="1" customWidth="1"/>
    <col min="15" max="15" width="11" style="1" customWidth="1"/>
    <col min="16" max="16" width="11.453125" style="1" customWidth="1"/>
    <col min="17" max="18" width="10.453125" style="1" customWidth="1"/>
    <col min="19" max="20" width="11" style="1" customWidth="1"/>
    <col min="21" max="22" width="11.7265625" style="1" customWidth="1"/>
    <col min="23" max="23" width="11.81640625" style="1" customWidth="1"/>
    <col min="24" max="24" width="11.453125" style="1" customWidth="1"/>
    <col min="25" max="25" width="12" style="1" customWidth="1"/>
    <col min="26" max="26" width="11.81640625" style="1" customWidth="1"/>
    <col min="27" max="27" width="7.1796875" style="1" customWidth="1"/>
    <col min="28" max="28" width="7.453125" style="1" customWidth="1"/>
    <col min="29" max="16384" width="11.453125" style="1"/>
  </cols>
  <sheetData>
    <row r="1" spans="1:28" ht="13.5" customHeight="1">
      <c r="B1" s="154"/>
      <c r="C1" s="154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56"/>
      <c r="AB1" s="156"/>
    </row>
    <row r="2" spans="1:28" ht="12" thickBot="1">
      <c r="B2" s="25"/>
      <c r="C2" s="25"/>
      <c r="D2" s="49"/>
      <c r="E2" s="49"/>
      <c r="F2" s="49"/>
      <c r="G2" s="57"/>
      <c r="H2" s="57"/>
      <c r="I2" s="49"/>
      <c r="J2" s="49"/>
      <c r="K2" s="49"/>
      <c r="L2" s="49"/>
      <c r="M2" s="49"/>
      <c r="N2" s="49"/>
      <c r="O2" s="49"/>
      <c r="P2" s="49"/>
      <c r="Q2" s="49"/>
      <c r="R2" s="49"/>
      <c r="S2" s="54"/>
      <c r="T2" s="54"/>
      <c r="U2" s="49"/>
      <c r="V2" s="49"/>
      <c r="W2" s="49"/>
      <c r="X2" s="49"/>
      <c r="Y2" s="49"/>
      <c r="Z2" s="49"/>
    </row>
    <row r="3" spans="1:28" ht="20.25" customHeight="1" thickBot="1">
      <c r="B3" s="49"/>
      <c r="C3" s="49"/>
      <c r="D3" s="49"/>
      <c r="E3" s="49"/>
      <c r="F3" s="49"/>
      <c r="G3" s="57"/>
      <c r="H3" s="57"/>
      <c r="I3" s="49"/>
      <c r="J3" s="49"/>
      <c r="K3" s="49"/>
      <c r="L3" s="49"/>
      <c r="M3" s="49"/>
      <c r="N3" s="49"/>
      <c r="O3" s="49"/>
      <c r="P3" s="49"/>
      <c r="Q3" s="49"/>
      <c r="R3" s="49"/>
      <c r="S3" s="54"/>
      <c r="T3" s="54"/>
      <c r="U3" s="49"/>
      <c r="V3" s="49"/>
      <c r="W3" s="49"/>
      <c r="X3" s="49"/>
      <c r="Y3" s="49"/>
      <c r="Z3" s="157" t="s">
        <v>28</v>
      </c>
      <c r="AA3" s="158"/>
    </row>
    <row r="4" spans="1:28">
      <c r="A4" s="155" t="s">
        <v>34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2"/>
    </row>
    <row r="5" spans="1:28">
      <c r="A5" s="155" t="s">
        <v>64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2"/>
    </row>
    <row r="6" spans="1:28">
      <c r="A6" s="155" t="s">
        <v>22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2"/>
    </row>
    <row r="7" spans="1:28">
      <c r="A7" s="155" t="s">
        <v>32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2"/>
    </row>
    <row r="8" spans="1:28" ht="12" thickBot="1"/>
    <row r="9" spans="1:28" s="5" customFormat="1" ht="14.25" customHeight="1" thickBot="1">
      <c r="A9" s="144" t="s">
        <v>15</v>
      </c>
      <c r="B9" s="145"/>
      <c r="C9" s="159" t="s">
        <v>29</v>
      </c>
      <c r="D9" s="150" t="s">
        <v>3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1"/>
    </row>
    <row r="10" spans="1:28" s="5" customFormat="1" ht="14.25" customHeight="1" thickBot="1">
      <c r="A10" s="146"/>
      <c r="B10" s="147"/>
      <c r="C10" s="160"/>
      <c r="D10" s="150" t="s">
        <v>65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1"/>
      <c r="P10" s="150" t="s">
        <v>21</v>
      </c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1"/>
    </row>
    <row r="11" spans="1:28" s="5" customFormat="1" ht="14.25" customHeight="1" thickBot="1">
      <c r="A11" s="146"/>
      <c r="B11" s="147"/>
      <c r="C11" s="160"/>
      <c r="D11" s="136" t="s">
        <v>25</v>
      </c>
      <c r="E11" s="138" t="s">
        <v>40</v>
      </c>
      <c r="F11" s="139"/>
      <c r="G11" s="138" t="s">
        <v>41</v>
      </c>
      <c r="H11" s="139"/>
      <c r="I11" s="136" t="s">
        <v>19</v>
      </c>
      <c r="J11" s="140" t="s">
        <v>12</v>
      </c>
      <c r="K11" s="136" t="s">
        <v>7</v>
      </c>
      <c r="L11" s="136" t="s">
        <v>1</v>
      </c>
      <c r="M11" s="136" t="s">
        <v>11</v>
      </c>
      <c r="N11" s="136" t="s">
        <v>31</v>
      </c>
      <c r="O11" s="136" t="s">
        <v>8</v>
      </c>
      <c r="P11" s="136" t="s">
        <v>25</v>
      </c>
      <c r="Q11" s="138" t="s">
        <v>40</v>
      </c>
      <c r="R11" s="139"/>
      <c r="S11" s="150" t="s">
        <v>41</v>
      </c>
      <c r="T11" s="151"/>
      <c r="U11" s="136" t="s">
        <v>19</v>
      </c>
      <c r="V11" s="142" t="s">
        <v>12</v>
      </c>
      <c r="W11" s="142" t="s">
        <v>7</v>
      </c>
      <c r="X11" s="142" t="s">
        <v>1</v>
      </c>
      <c r="Y11" s="142" t="s">
        <v>11</v>
      </c>
      <c r="Z11" s="142" t="s">
        <v>31</v>
      </c>
      <c r="AA11" s="142" t="s">
        <v>8</v>
      </c>
    </row>
    <row r="12" spans="1:28" s="5" customFormat="1" ht="14.25" customHeight="1" thickBot="1">
      <c r="A12" s="148"/>
      <c r="B12" s="149"/>
      <c r="C12" s="161"/>
      <c r="D12" s="137"/>
      <c r="E12" s="11" t="s">
        <v>4</v>
      </c>
      <c r="F12" s="11" t="s">
        <v>5</v>
      </c>
      <c r="G12" s="11" t="s">
        <v>4</v>
      </c>
      <c r="H12" s="11" t="s">
        <v>5</v>
      </c>
      <c r="I12" s="137"/>
      <c r="J12" s="141"/>
      <c r="K12" s="137"/>
      <c r="L12" s="137"/>
      <c r="M12" s="137"/>
      <c r="N12" s="137"/>
      <c r="O12" s="137"/>
      <c r="P12" s="137"/>
      <c r="Q12" s="71" t="s">
        <v>4</v>
      </c>
      <c r="R12" s="11" t="s">
        <v>5</v>
      </c>
      <c r="S12" s="11" t="s">
        <v>4</v>
      </c>
      <c r="T12" s="11" t="s">
        <v>5</v>
      </c>
      <c r="U12" s="137"/>
      <c r="V12" s="143"/>
      <c r="W12" s="143"/>
      <c r="X12" s="143"/>
      <c r="Y12" s="143"/>
      <c r="Z12" s="143"/>
      <c r="AA12" s="143"/>
    </row>
    <row r="13" spans="1:28" ht="54" customHeight="1">
      <c r="A13" s="134" t="s">
        <v>58</v>
      </c>
      <c r="B13" s="135"/>
      <c r="C13" s="109">
        <v>549854.96</v>
      </c>
      <c r="D13" s="105">
        <f>('UCEEP-09-01'!F14)</f>
        <v>187835</v>
      </c>
      <c r="E13" s="34">
        <f>'UCEEP-09-01'!J14</f>
        <v>39634.400000000001</v>
      </c>
      <c r="F13" s="34">
        <f>'UCEEP-09-01'!N14</f>
        <v>39634.399999999994</v>
      </c>
      <c r="G13" s="34">
        <f>'UCEEP-09-01'!R14</f>
        <v>5960.8600000000006</v>
      </c>
      <c r="H13" s="34">
        <f>'UCEEP-09-01'!V14</f>
        <v>5960.8600000000006</v>
      </c>
      <c r="I13" s="34">
        <f>'UCEEP-09-01'!Z14</f>
        <v>187835</v>
      </c>
      <c r="J13" s="34">
        <f>'UCEEP-09-01'!AD14</f>
        <v>105701.11</v>
      </c>
      <c r="K13" s="34">
        <f>'UCEEP-09-01'!AH14</f>
        <v>105701.11</v>
      </c>
      <c r="L13" s="34">
        <f>'UCEEP-09-01'!AL14</f>
        <v>105701.11</v>
      </c>
      <c r="M13" s="34">
        <f>'UCEEP-09-01'!AP14</f>
        <v>105701.11</v>
      </c>
      <c r="N13" s="61">
        <f>'UCEEP-09-01'!AT14</f>
        <v>82133.89</v>
      </c>
      <c r="O13" s="26">
        <f>((D13-M13)/(D13)*(100%))</f>
        <v>0.43726616445284427</v>
      </c>
      <c r="P13" s="34">
        <f>'UCEEP-09-01'!F46</f>
        <v>234245</v>
      </c>
      <c r="Q13" s="34">
        <f>'UCEEP-09-01'!J46</f>
        <v>68462.13</v>
      </c>
      <c r="R13" s="34">
        <f>'UCEEP-09-01'!N46</f>
        <v>68462.12999999999</v>
      </c>
      <c r="S13" s="34">
        <f>'UCEEP-09-01'!R46</f>
        <v>21128.07</v>
      </c>
      <c r="T13" s="34">
        <f>'UCEEP-09-01'!V46</f>
        <v>21128.07</v>
      </c>
      <c r="U13" s="34">
        <f>'UCEEP-09-01'!Z46</f>
        <v>234245</v>
      </c>
      <c r="V13" s="34">
        <f>'UCEEP-09-01'!AD46</f>
        <v>155990.29</v>
      </c>
      <c r="W13" s="34">
        <f>'UCEEP-09-01'!AH46</f>
        <v>155990.29</v>
      </c>
      <c r="X13" s="34">
        <f>'UCEEP-09-01'!AL46</f>
        <v>155990.29</v>
      </c>
      <c r="Y13" s="34">
        <f>'UCEEP-09-01'!AP46</f>
        <v>155990.29</v>
      </c>
      <c r="Z13" s="61">
        <f>'UCEEP-09-01'!AT46</f>
        <v>78254.710000000006</v>
      </c>
      <c r="AA13" s="26">
        <f>((P13-Y13)/(P13)*(100%))</f>
        <v>0.33407206130333622</v>
      </c>
    </row>
    <row r="14" spans="1:28" ht="54" customHeight="1">
      <c r="A14" s="134" t="s">
        <v>59</v>
      </c>
      <c r="B14" s="135"/>
      <c r="C14" s="105">
        <v>6944828</v>
      </c>
      <c r="D14" s="105">
        <f>('UCEEP-09-01'!F15)</f>
        <v>1154955</v>
      </c>
      <c r="E14" s="34">
        <f>'UCEEP-09-01'!J15</f>
        <v>338676.56</v>
      </c>
      <c r="F14" s="34">
        <f>'UCEEP-09-01'!N15</f>
        <v>215688.71999999997</v>
      </c>
      <c r="G14" s="34">
        <f>'UCEEP-09-01'!R15</f>
        <v>167638.41999999998</v>
      </c>
      <c r="H14" s="34">
        <f>'UCEEP-09-01'!V15</f>
        <v>167638.41999999998</v>
      </c>
      <c r="I14" s="34">
        <f>'UCEEP-09-01'!Z15</f>
        <v>1277942.8399999999</v>
      </c>
      <c r="J14" s="34">
        <f>'UCEEP-09-01'!AD15</f>
        <v>906600.04</v>
      </c>
      <c r="K14" s="34">
        <f>'UCEEP-09-01'!AH15</f>
        <v>906600.04</v>
      </c>
      <c r="L14" s="34">
        <f>'UCEEP-09-01'!AL15</f>
        <v>906600.04</v>
      </c>
      <c r="M14" s="34">
        <f>'UCEEP-09-01'!AP15</f>
        <v>906600.04</v>
      </c>
      <c r="N14" s="61">
        <f>'UCEEP-09-01'!AT15</f>
        <v>371342.79999999993</v>
      </c>
      <c r="O14" s="26">
        <f t="shared" ref="O14:O17" si="0">((D14-M14)/(D14)*(100%))</f>
        <v>0.21503431735435577</v>
      </c>
      <c r="P14" s="34">
        <f>'UCEEP-09-01'!F47</f>
        <v>2679019</v>
      </c>
      <c r="Q14" s="34">
        <f>'UCEEP-09-01'!J47</f>
        <v>458545.52999999997</v>
      </c>
      <c r="R14" s="34">
        <f>'UCEEP-09-01'!N47</f>
        <v>458545.52999999997</v>
      </c>
      <c r="S14" s="34">
        <f>'UCEEP-09-01'!R47</f>
        <v>215081.25</v>
      </c>
      <c r="T14" s="34">
        <f>'UCEEP-09-01'!V47</f>
        <v>215081.25</v>
      </c>
      <c r="U14" s="34">
        <f>'UCEEP-09-01'!Z47</f>
        <v>2679019</v>
      </c>
      <c r="V14" s="34">
        <f>'UCEEP-09-01'!AD47</f>
        <v>1449388.29</v>
      </c>
      <c r="W14" s="34">
        <f>'UCEEP-09-01'!AH47</f>
        <v>1449388.29</v>
      </c>
      <c r="X14" s="34">
        <f>'UCEEP-09-01'!AL47</f>
        <v>1449388.29</v>
      </c>
      <c r="Y14" s="34">
        <f>'UCEEP-09-01'!AP47</f>
        <v>1449388.29</v>
      </c>
      <c r="Z14" s="61">
        <f>'UCEEP-09-01'!AT47</f>
        <v>1229630.71</v>
      </c>
      <c r="AA14" s="26">
        <f t="shared" ref="AA14:AA17" si="1">((P14-Y14)/(P14)*(100%))</f>
        <v>0.45898543832649191</v>
      </c>
    </row>
    <row r="15" spans="1:28" ht="54" customHeight="1">
      <c r="A15" s="134" t="s">
        <v>60</v>
      </c>
      <c r="B15" s="135"/>
      <c r="C15" s="105">
        <v>27000</v>
      </c>
      <c r="D15" s="105">
        <f>('UCEEP-09-01'!F16)</f>
        <v>27000</v>
      </c>
      <c r="E15" s="34">
        <f>'UCEEP-09-01'!J16</f>
        <v>0</v>
      </c>
      <c r="F15" s="34">
        <f>'UCEEP-09-01'!N16</f>
        <v>0</v>
      </c>
      <c r="G15" s="34">
        <f>'UCEEP-09-01'!R16</f>
        <v>0</v>
      </c>
      <c r="H15" s="34">
        <f>'UCEEP-09-01'!V16</f>
        <v>0</v>
      </c>
      <c r="I15" s="34">
        <f>'UCEEP-09-01'!Z16</f>
        <v>27000</v>
      </c>
      <c r="J15" s="34">
        <f>'UCEEP-09-01'!AD16</f>
        <v>0</v>
      </c>
      <c r="K15" s="34">
        <f>'UCEEP-09-01'!AH16</f>
        <v>0</v>
      </c>
      <c r="L15" s="34">
        <f>'UCEEP-09-01'!AL16</f>
        <v>0</v>
      </c>
      <c r="M15" s="34">
        <f>'UCEEP-09-01'!AP16</f>
        <v>0</v>
      </c>
      <c r="N15" s="61">
        <f>'UCEEP-09-01'!AT16</f>
        <v>27000</v>
      </c>
      <c r="O15" s="113">
        <v>0</v>
      </c>
      <c r="P15" s="34">
        <f>'UCEEP-09-01'!F48</f>
        <v>27000</v>
      </c>
      <c r="Q15" s="34">
        <f>'UCEEP-09-01'!J48</f>
        <v>9740.7799999999988</v>
      </c>
      <c r="R15" s="34">
        <f>'UCEEP-09-01'!N48</f>
        <v>9740.7800000000007</v>
      </c>
      <c r="S15" s="34">
        <f>'UCEEP-09-01'!R48</f>
        <v>0</v>
      </c>
      <c r="T15" s="34">
        <f>'UCEEP-09-01'!V48</f>
        <v>0</v>
      </c>
      <c r="U15" s="34">
        <f>'UCEEP-09-01'!Z48</f>
        <v>27000</v>
      </c>
      <c r="V15" s="34">
        <f>'UCEEP-09-01'!AD48</f>
        <v>9740.7800000000007</v>
      </c>
      <c r="W15" s="34">
        <f>'UCEEP-09-01'!AH48</f>
        <v>9740.7800000000007</v>
      </c>
      <c r="X15" s="34">
        <f>'UCEEP-09-01'!AL48</f>
        <v>9740.7800000000007</v>
      </c>
      <c r="Y15" s="34">
        <f>'UCEEP-09-01'!AP48</f>
        <v>9740.7800000000007</v>
      </c>
      <c r="Z15" s="61">
        <f>'UCEEP-09-01'!AT48</f>
        <v>17259.22</v>
      </c>
      <c r="AA15" s="26">
        <f t="shared" si="1"/>
        <v>0.63923037037037045</v>
      </c>
    </row>
    <row r="16" spans="1:28" ht="54" customHeight="1">
      <c r="A16" s="134" t="s">
        <v>61</v>
      </c>
      <c r="B16" s="135"/>
      <c r="C16" s="105">
        <v>254998</v>
      </c>
      <c r="D16" s="105">
        <f>('UCEEP-09-01'!F17)</f>
        <v>230000</v>
      </c>
      <c r="E16" s="34">
        <f>'UCEEP-09-01'!J17</f>
        <v>7495</v>
      </c>
      <c r="F16" s="34">
        <f>'UCEEP-09-01'!N17</f>
        <v>7495</v>
      </c>
      <c r="G16" s="34">
        <f>'UCEEP-09-01'!R17</f>
        <v>0</v>
      </c>
      <c r="H16" s="34">
        <f>'UCEEP-09-01'!V17</f>
        <v>0</v>
      </c>
      <c r="I16" s="34">
        <f>'UCEEP-09-01'!Z17</f>
        <v>230000</v>
      </c>
      <c r="J16" s="34">
        <f>'UCEEP-09-01'!AD17</f>
        <v>7495</v>
      </c>
      <c r="K16" s="34">
        <f>'UCEEP-09-01'!AH17</f>
        <v>7495</v>
      </c>
      <c r="L16" s="34">
        <f>'UCEEP-09-01'!AL17</f>
        <v>7495</v>
      </c>
      <c r="M16" s="34">
        <f>'UCEEP-09-01'!AP17</f>
        <v>7495</v>
      </c>
      <c r="N16" s="61">
        <f>'UCEEP-09-01'!AT17</f>
        <v>222505</v>
      </c>
      <c r="O16" s="26">
        <f t="shared" si="0"/>
        <v>0.96741304347826085</v>
      </c>
      <c r="P16" s="34">
        <f>'UCEEP-09-01'!F49</f>
        <v>254998</v>
      </c>
      <c r="Q16" s="34">
        <f>'UCEEP-09-01'!J49</f>
        <v>8123</v>
      </c>
      <c r="R16" s="34">
        <f>'UCEEP-09-01'!N49</f>
        <v>8123</v>
      </c>
      <c r="S16" s="34">
        <f>'UCEEP-09-01'!R49</f>
        <v>0</v>
      </c>
      <c r="T16" s="34">
        <f>'UCEEP-09-01'!V49</f>
        <v>0</v>
      </c>
      <c r="U16" s="34">
        <f>'UCEEP-09-01'!Z49</f>
        <v>254998</v>
      </c>
      <c r="V16" s="34">
        <f>'UCEEP-09-01'!AD49</f>
        <v>8123</v>
      </c>
      <c r="W16" s="34">
        <f>'UCEEP-09-01'!AH49</f>
        <v>8123</v>
      </c>
      <c r="X16" s="34">
        <f>'UCEEP-09-01'!AL49</f>
        <v>8123</v>
      </c>
      <c r="Y16" s="34">
        <f>'UCEEP-09-01'!AP49</f>
        <v>8123</v>
      </c>
      <c r="Z16" s="61">
        <f>'UCEEP-09-01'!AT49</f>
        <v>246875</v>
      </c>
      <c r="AA16" s="26">
        <f t="shared" si="1"/>
        <v>0.96814484819488777</v>
      </c>
    </row>
    <row r="17" spans="1:31" ht="54" customHeight="1">
      <c r="A17" s="134" t="s">
        <v>62</v>
      </c>
      <c r="B17" s="135"/>
      <c r="C17" s="105">
        <v>61089753.039999992</v>
      </c>
      <c r="D17" s="105">
        <f>('UCEEP-09-01'!F18)</f>
        <v>14787886.310000002</v>
      </c>
      <c r="E17" s="34">
        <f>'UCEEP-09-01'!J18</f>
        <v>299158.95</v>
      </c>
      <c r="F17" s="34">
        <f>'UCEEP-09-01'!N18</f>
        <v>299158.94999999995</v>
      </c>
      <c r="G17" s="34">
        <f>'UCEEP-09-01'!R18</f>
        <v>236253.62</v>
      </c>
      <c r="H17" s="34">
        <f>'UCEEP-09-01'!V18</f>
        <v>236253.62</v>
      </c>
      <c r="I17" s="34">
        <f>'UCEEP-09-01'!Z18</f>
        <v>14787886.310000002</v>
      </c>
      <c r="J17" s="34">
        <f>'UCEEP-09-01'!AD18</f>
        <v>12882714.15</v>
      </c>
      <c r="K17" s="34">
        <f>'UCEEP-09-01'!AH18</f>
        <v>12882714.15</v>
      </c>
      <c r="L17" s="34">
        <f>'UCEEP-09-01'!AL18</f>
        <v>12882714.15</v>
      </c>
      <c r="M17" s="34">
        <f>'UCEEP-09-01'!AP18</f>
        <v>12882714.15</v>
      </c>
      <c r="N17" s="61">
        <f>'UCEEP-09-01'!AT18</f>
        <v>1905172.1600000001</v>
      </c>
      <c r="O17" s="26">
        <f t="shared" si="0"/>
        <v>0.12883329774530852</v>
      </c>
      <c r="P17" s="34">
        <f>'UCEEP-09-01'!F50</f>
        <v>27823725.310000002</v>
      </c>
      <c r="Q17" s="34">
        <f>'UCEEP-09-01'!J50</f>
        <v>528209.48</v>
      </c>
      <c r="R17" s="34">
        <f>'UCEEP-09-01'!N50</f>
        <v>528209.48</v>
      </c>
      <c r="S17" s="34">
        <f>'UCEEP-09-01'!R50</f>
        <v>1560445.51</v>
      </c>
      <c r="T17" s="34">
        <f>'UCEEP-09-01'!V50</f>
        <v>1560445.51</v>
      </c>
      <c r="U17" s="34">
        <f>'UCEEP-09-01'!Z50</f>
        <v>27823725.310000002</v>
      </c>
      <c r="V17" s="34">
        <f>'UCEEP-09-01'!AD50</f>
        <v>25638977.600000001</v>
      </c>
      <c r="W17" s="34">
        <f>'UCEEP-09-01'!AH50</f>
        <v>25638977.600000001</v>
      </c>
      <c r="X17" s="34">
        <f>'UCEEP-09-01'!AL50</f>
        <v>25638977.600000001</v>
      </c>
      <c r="Y17" s="34">
        <f>'UCEEP-09-01'!AP50</f>
        <v>25638977.600000001</v>
      </c>
      <c r="Z17" s="61">
        <f>'UCEEP-09-01'!AT50</f>
        <v>2184747.7100000009</v>
      </c>
      <c r="AA17" s="26">
        <f t="shared" si="1"/>
        <v>7.8521035039646192E-2</v>
      </c>
    </row>
    <row r="18" spans="1:31" ht="6" customHeight="1" thickBot="1">
      <c r="A18" s="132"/>
      <c r="B18" s="13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100"/>
      <c r="O18" s="100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2"/>
    </row>
    <row r="19" spans="1:31" s="5" customFormat="1" ht="20.25" customHeight="1" thickBot="1">
      <c r="A19" s="163" t="s">
        <v>0</v>
      </c>
      <c r="B19" s="164"/>
      <c r="C19" s="36">
        <f t="shared" ref="C19:N19" si="2">SUM(C13:C17)</f>
        <v>68866433.999999985</v>
      </c>
      <c r="D19" s="36">
        <f t="shared" si="2"/>
        <v>16387676.310000002</v>
      </c>
      <c r="E19" s="36">
        <f t="shared" si="2"/>
        <v>684964.91</v>
      </c>
      <c r="F19" s="36">
        <f t="shared" si="2"/>
        <v>561977.06999999995</v>
      </c>
      <c r="G19" s="36">
        <f t="shared" si="2"/>
        <v>409852.89999999997</v>
      </c>
      <c r="H19" s="36">
        <f t="shared" si="2"/>
        <v>409852.89999999997</v>
      </c>
      <c r="I19" s="36">
        <f t="shared" si="2"/>
        <v>16510664.150000002</v>
      </c>
      <c r="J19" s="36">
        <f t="shared" si="2"/>
        <v>13902510.300000001</v>
      </c>
      <c r="K19" s="36">
        <f t="shared" si="2"/>
        <v>13902510.300000001</v>
      </c>
      <c r="L19" s="36">
        <f t="shared" si="2"/>
        <v>13902510.300000001</v>
      </c>
      <c r="M19" s="36">
        <f t="shared" si="2"/>
        <v>13902510.300000001</v>
      </c>
      <c r="N19" s="36">
        <f t="shared" si="2"/>
        <v>2608153.85</v>
      </c>
      <c r="O19" s="45">
        <f>((D19-M19)/(D19)*(100%))</f>
        <v>0.15164846821410041</v>
      </c>
      <c r="P19" s="36">
        <f t="shared" ref="P19:Z19" si="3">SUM(P13:P17)</f>
        <v>31018987.310000002</v>
      </c>
      <c r="Q19" s="36">
        <f t="shared" si="3"/>
        <v>1073080.92</v>
      </c>
      <c r="R19" s="36">
        <f t="shared" si="3"/>
        <v>1073080.92</v>
      </c>
      <c r="S19" s="36">
        <f t="shared" si="3"/>
        <v>1796654.83</v>
      </c>
      <c r="T19" s="36">
        <f t="shared" si="3"/>
        <v>1796654.83</v>
      </c>
      <c r="U19" s="36">
        <f t="shared" si="3"/>
        <v>31018987.310000002</v>
      </c>
      <c r="V19" s="36">
        <f t="shared" si="3"/>
        <v>27262219.960000001</v>
      </c>
      <c r="W19" s="36">
        <f t="shared" si="3"/>
        <v>27262219.960000001</v>
      </c>
      <c r="X19" s="36">
        <f t="shared" si="3"/>
        <v>27262219.960000001</v>
      </c>
      <c r="Y19" s="36">
        <f t="shared" si="3"/>
        <v>27262219.960000001</v>
      </c>
      <c r="Z19" s="36">
        <f t="shared" si="3"/>
        <v>3756767.3500000006</v>
      </c>
      <c r="AA19" s="45">
        <f>((P19-Y19)/(P19)*(100%))</f>
        <v>0.12111186327443006</v>
      </c>
    </row>
    <row r="20" spans="1:31" ht="13.5" customHeight="1">
      <c r="B20" s="17"/>
      <c r="C20" s="17"/>
      <c r="D20" s="1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8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18"/>
    </row>
    <row r="21" spans="1:31" ht="14.25" customHeight="1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37"/>
      <c r="W21" s="37"/>
      <c r="X21" s="37"/>
      <c r="Y21" s="37"/>
      <c r="Z21" s="37"/>
      <c r="AA21" s="37"/>
      <c r="AB21" s="18"/>
    </row>
    <row r="22" spans="1:31" ht="14.2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37"/>
      <c r="W22" s="37"/>
      <c r="X22" s="37"/>
      <c r="Y22" s="37"/>
      <c r="Z22" s="37"/>
      <c r="AA22" s="37"/>
      <c r="AB22" s="18"/>
    </row>
    <row r="23" spans="1:31" ht="14.2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37"/>
      <c r="W23" s="37"/>
      <c r="X23" s="37"/>
      <c r="Y23" s="37"/>
      <c r="Z23" s="37"/>
      <c r="AA23" s="37"/>
      <c r="AB23" s="18"/>
    </row>
    <row r="24" spans="1:31" ht="14.25" customHeight="1" thickBot="1">
      <c r="B24" s="17"/>
      <c r="C24" s="17"/>
      <c r="D24" s="1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87"/>
      <c r="U24" s="37"/>
      <c r="V24" s="37"/>
      <c r="W24" s="37"/>
      <c r="X24" s="37"/>
      <c r="Y24" s="37"/>
      <c r="Z24" s="37"/>
      <c r="AA24" s="37"/>
      <c r="AB24" s="18"/>
    </row>
    <row r="25" spans="1:31" ht="14.25" customHeight="1" thickBot="1">
      <c r="A25" s="144" t="s">
        <v>15</v>
      </c>
      <c r="B25" s="145"/>
      <c r="C25" s="136" t="s">
        <v>6</v>
      </c>
      <c r="D25" s="136" t="s">
        <v>30</v>
      </c>
      <c r="E25" s="165" t="s">
        <v>2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7"/>
      <c r="S25" s="37"/>
      <c r="T25" s="37"/>
      <c r="U25" s="37"/>
      <c r="V25" s="37"/>
      <c r="W25" s="37"/>
      <c r="X25" s="37"/>
      <c r="Y25" s="37"/>
      <c r="Z25" s="37"/>
      <c r="AA25" s="37"/>
      <c r="AB25" s="67"/>
      <c r="AC25" s="68"/>
      <c r="AD25" s="37"/>
      <c r="AE25" s="37"/>
    </row>
    <row r="26" spans="1:31" ht="20.25" customHeight="1" thickBot="1">
      <c r="A26" s="146"/>
      <c r="B26" s="147"/>
      <c r="C26" s="162"/>
      <c r="D26" s="162"/>
      <c r="E26" s="165" t="s">
        <v>63</v>
      </c>
      <c r="F26" s="166"/>
      <c r="G26" s="166"/>
      <c r="H26" s="166"/>
      <c r="I26" s="166"/>
      <c r="J26" s="166"/>
      <c r="K26" s="167"/>
      <c r="L26" s="165" t="s">
        <v>23</v>
      </c>
      <c r="M26" s="166"/>
      <c r="N26" s="166"/>
      <c r="O26" s="166"/>
      <c r="P26" s="166"/>
      <c r="Q26" s="166"/>
      <c r="R26" s="167"/>
      <c r="S26" s="37"/>
      <c r="T26" s="37"/>
      <c r="U26" s="37"/>
      <c r="V26" s="37"/>
      <c r="W26" s="37"/>
      <c r="X26" s="37"/>
      <c r="Y26" s="37"/>
      <c r="Z26" s="37"/>
      <c r="AA26" s="37"/>
      <c r="AB26" s="67"/>
      <c r="AC26" s="68"/>
      <c r="AD26" s="37"/>
      <c r="AE26" s="37"/>
    </row>
    <row r="27" spans="1:31" ht="24" customHeight="1" thickBot="1">
      <c r="A27" s="148"/>
      <c r="B27" s="149"/>
      <c r="C27" s="137"/>
      <c r="D27" s="137"/>
      <c r="E27" s="29" t="s">
        <v>24</v>
      </c>
      <c r="F27" s="58" t="s">
        <v>4</v>
      </c>
      <c r="G27" s="13" t="s">
        <v>5</v>
      </c>
      <c r="H27" s="11" t="s">
        <v>20</v>
      </c>
      <c r="I27" s="13" t="s">
        <v>9</v>
      </c>
      <c r="J27" s="12" t="s">
        <v>10</v>
      </c>
      <c r="K27" s="13" t="s">
        <v>8</v>
      </c>
      <c r="L27" s="29" t="s">
        <v>24</v>
      </c>
      <c r="M27" s="13" t="s">
        <v>4</v>
      </c>
      <c r="N27" s="13" t="s">
        <v>5</v>
      </c>
      <c r="O27" s="11" t="s">
        <v>20</v>
      </c>
      <c r="P27" s="13" t="s">
        <v>9</v>
      </c>
      <c r="Q27" s="12" t="s">
        <v>10</v>
      </c>
      <c r="R27" s="13" t="s">
        <v>8</v>
      </c>
      <c r="S27" s="37"/>
      <c r="T27" s="37"/>
      <c r="U27" s="37"/>
      <c r="V27" s="37"/>
      <c r="W27" s="37"/>
      <c r="X27" s="37"/>
      <c r="Y27" s="37"/>
      <c r="Z27" s="37"/>
      <c r="AA27" s="37"/>
    </row>
    <row r="28" spans="1:31" ht="56.25" customHeight="1">
      <c r="A28" s="134" t="s">
        <v>58</v>
      </c>
      <c r="B28" s="135"/>
      <c r="C28" s="112" t="s">
        <v>35</v>
      </c>
      <c r="D28" s="123">
        <v>40</v>
      </c>
      <c r="E28" s="124">
        <v>12</v>
      </c>
      <c r="F28" s="125">
        <v>0</v>
      </c>
      <c r="G28" s="125">
        <v>0</v>
      </c>
      <c r="H28" s="125">
        <v>12</v>
      </c>
      <c r="I28" s="125">
        <v>12</v>
      </c>
      <c r="J28" s="125">
        <v>0</v>
      </c>
      <c r="K28" s="126">
        <v>1</v>
      </c>
      <c r="L28" s="124">
        <v>24</v>
      </c>
      <c r="M28" s="125">
        <v>0</v>
      </c>
      <c r="N28" s="125">
        <v>0</v>
      </c>
      <c r="O28" s="127">
        <v>24</v>
      </c>
      <c r="P28" s="127">
        <v>24</v>
      </c>
      <c r="Q28" s="125">
        <v>0</v>
      </c>
      <c r="R28" s="128">
        <v>1</v>
      </c>
      <c r="T28" s="86"/>
    </row>
    <row r="29" spans="1:31" ht="56.25" customHeight="1">
      <c r="A29" s="134" t="s">
        <v>59</v>
      </c>
      <c r="B29" s="135"/>
      <c r="C29" s="112" t="s">
        <v>36</v>
      </c>
      <c r="D29" s="123">
        <v>3025</v>
      </c>
      <c r="E29" s="124">
        <v>1949</v>
      </c>
      <c r="F29" s="125">
        <v>0</v>
      </c>
      <c r="G29" s="125">
        <v>0</v>
      </c>
      <c r="H29" s="125">
        <v>1949</v>
      </c>
      <c r="I29" s="125">
        <v>1949</v>
      </c>
      <c r="J29" s="125">
        <v>0</v>
      </c>
      <c r="K29" s="126">
        <v>1</v>
      </c>
      <c r="L29" s="124">
        <v>1949</v>
      </c>
      <c r="M29" s="125">
        <v>0</v>
      </c>
      <c r="N29" s="125">
        <v>0</v>
      </c>
      <c r="O29" s="127">
        <v>1949</v>
      </c>
      <c r="P29" s="127">
        <v>1949</v>
      </c>
      <c r="Q29" s="125">
        <v>0</v>
      </c>
      <c r="R29" s="128">
        <v>1</v>
      </c>
    </row>
    <row r="30" spans="1:31" ht="56.25" customHeight="1">
      <c r="A30" s="134" t="s">
        <v>60</v>
      </c>
      <c r="B30" s="135"/>
      <c r="C30" s="112" t="s">
        <v>37</v>
      </c>
      <c r="D30" s="123">
        <v>6</v>
      </c>
      <c r="E30" s="124">
        <v>3</v>
      </c>
      <c r="F30" s="125">
        <v>0</v>
      </c>
      <c r="G30" s="125">
        <v>0</v>
      </c>
      <c r="H30" s="125">
        <v>3</v>
      </c>
      <c r="I30" s="125">
        <v>3</v>
      </c>
      <c r="J30" s="125">
        <v>0</v>
      </c>
      <c r="K30" s="126">
        <v>1</v>
      </c>
      <c r="L30" s="124">
        <v>3</v>
      </c>
      <c r="M30" s="125">
        <v>0</v>
      </c>
      <c r="N30" s="125">
        <v>0</v>
      </c>
      <c r="O30" s="127">
        <v>3</v>
      </c>
      <c r="P30" s="127">
        <v>3</v>
      </c>
      <c r="Q30" s="125">
        <v>0</v>
      </c>
      <c r="R30" s="128">
        <v>1</v>
      </c>
    </row>
    <row r="31" spans="1:31" ht="56.25" customHeight="1">
      <c r="A31" s="134" t="s">
        <v>61</v>
      </c>
      <c r="B31" s="135"/>
      <c r="C31" s="112" t="s">
        <v>39</v>
      </c>
      <c r="D31" s="123">
        <v>12</v>
      </c>
      <c r="E31" s="124">
        <v>3</v>
      </c>
      <c r="F31" s="125">
        <v>0</v>
      </c>
      <c r="G31" s="125">
        <v>0</v>
      </c>
      <c r="H31" s="125">
        <v>3</v>
      </c>
      <c r="I31" s="125">
        <v>3</v>
      </c>
      <c r="J31" s="125">
        <v>0</v>
      </c>
      <c r="K31" s="126">
        <v>1</v>
      </c>
      <c r="L31" s="124">
        <v>6</v>
      </c>
      <c r="M31" s="125">
        <v>0</v>
      </c>
      <c r="N31" s="125">
        <v>0</v>
      </c>
      <c r="O31" s="127">
        <v>6</v>
      </c>
      <c r="P31" s="127">
        <v>6</v>
      </c>
      <c r="Q31" s="125">
        <v>0</v>
      </c>
      <c r="R31" s="128">
        <v>1</v>
      </c>
    </row>
    <row r="32" spans="1:31" ht="56.25" customHeight="1" thickBot="1">
      <c r="A32" s="134" t="s">
        <v>62</v>
      </c>
      <c r="B32" s="135"/>
      <c r="C32" s="112" t="s">
        <v>38</v>
      </c>
      <c r="D32" s="123">
        <v>12</v>
      </c>
      <c r="E32" s="124">
        <v>3</v>
      </c>
      <c r="F32" s="125">
        <v>0</v>
      </c>
      <c r="G32" s="125">
        <v>0</v>
      </c>
      <c r="H32" s="125">
        <v>3</v>
      </c>
      <c r="I32" s="125">
        <v>3</v>
      </c>
      <c r="J32" s="125">
        <v>0</v>
      </c>
      <c r="K32" s="126">
        <v>1</v>
      </c>
      <c r="L32" s="124">
        <v>6</v>
      </c>
      <c r="M32" s="125">
        <v>0</v>
      </c>
      <c r="N32" s="125">
        <v>0</v>
      </c>
      <c r="O32" s="127">
        <v>6</v>
      </c>
      <c r="P32" s="127">
        <v>6</v>
      </c>
      <c r="Q32" s="125">
        <v>0</v>
      </c>
      <c r="R32" s="128">
        <v>1</v>
      </c>
    </row>
    <row r="33" spans="1:28" ht="6" customHeight="1" thickBot="1">
      <c r="A33" s="169"/>
      <c r="B33" s="170"/>
      <c r="C33" s="171"/>
      <c r="D33" s="51"/>
      <c r="E33" s="15"/>
      <c r="F33" s="16"/>
      <c r="G33" s="16"/>
      <c r="H33" s="14"/>
      <c r="I33" s="14"/>
      <c r="J33" s="14"/>
      <c r="K33" s="14"/>
      <c r="L33" s="15"/>
      <c r="M33" s="16"/>
      <c r="N33" s="16"/>
      <c r="O33" s="14"/>
      <c r="P33" s="14"/>
      <c r="Q33" s="14"/>
      <c r="R33" s="62"/>
    </row>
    <row r="34" spans="1:28" ht="24" customHeight="1" thickBot="1">
      <c r="A34" s="163" t="s">
        <v>0</v>
      </c>
      <c r="B34" s="168"/>
      <c r="C34" s="164"/>
      <c r="D34" s="52">
        <v>3095</v>
      </c>
      <c r="E34" s="52">
        <v>1970</v>
      </c>
      <c r="F34" s="52">
        <v>0</v>
      </c>
      <c r="G34" s="52">
        <v>0</v>
      </c>
      <c r="H34" s="52">
        <v>1970</v>
      </c>
      <c r="I34" s="52">
        <v>1970</v>
      </c>
      <c r="J34" s="52">
        <v>0</v>
      </c>
      <c r="K34" s="69">
        <v>1</v>
      </c>
      <c r="L34" s="63">
        <v>1988</v>
      </c>
      <c r="M34" s="52">
        <v>0</v>
      </c>
      <c r="N34" s="52">
        <v>0</v>
      </c>
      <c r="O34" s="52">
        <v>1988</v>
      </c>
      <c r="P34" s="52">
        <v>1988</v>
      </c>
      <c r="Q34" s="52">
        <v>0</v>
      </c>
      <c r="R34" s="60">
        <v>1</v>
      </c>
    </row>
    <row r="35" spans="1:28" ht="18.75" customHeight="1">
      <c r="A35" s="1" t="s">
        <v>68</v>
      </c>
    </row>
    <row r="36" spans="1:28" ht="18.75" customHeight="1"/>
    <row r="37" spans="1:28" ht="18.75" customHeight="1"/>
    <row r="38" spans="1:28" ht="18.75" customHeight="1"/>
    <row r="39" spans="1:28" ht="18.75" customHeight="1"/>
    <row r="40" spans="1:28" ht="18.75" customHeight="1"/>
    <row r="41" spans="1:28" ht="18.75" customHeight="1"/>
    <row r="42" spans="1:28" ht="18.75" customHeight="1"/>
    <row r="43" spans="1:28" ht="18.75" customHeight="1"/>
    <row r="44" spans="1:28" s="30" customFormat="1" ht="24.75" customHeight="1">
      <c r="A44" s="79"/>
      <c r="B44" s="130" t="s">
        <v>43</v>
      </c>
      <c r="C44" s="130"/>
      <c r="D44" s="130"/>
      <c r="E44" s="84"/>
      <c r="F44" s="84"/>
      <c r="G44" s="84"/>
      <c r="H44" s="84"/>
      <c r="I44" s="84"/>
      <c r="J44" s="84"/>
      <c r="K44" s="84"/>
      <c r="L44" s="130" t="s">
        <v>44</v>
      </c>
      <c r="M44" s="130"/>
      <c r="N44" s="130"/>
      <c r="O44" s="83"/>
      <c r="P44" s="79"/>
      <c r="Q44" s="79"/>
      <c r="R44" s="79"/>
      <c r="S44" s="79"/>
      <c r="T44" s="79"/>
      <c r="U44" s="79"/>
      <c r="V44" s="79"/>
      <c r="W44" s="130" t="s">
        <v>45</v>
      </c>
      <c r="X44" s="130"/>
      <c r="Y44" s="130"/>
      <c r="Z44" s="79"/>
      <c r="AA44" s="79"/>
      <c r="AB44" s="79"/>
    </row>
    <row r="45" spans="1:28" s="30" customFormat="1" ht="24.75" customHeight="1">
      <c r="B45" s="74"/>
      <c r="C45" s="74"/>
      <c r="D45" s="50"/>
      <c r="E45" s="50"/>
      <c r="F45" s="50"/>
      <c r="G45" s="56"/>
      <c r="H45" s="56"/>
      <c r="I45" s="50"/>
      <c r="J45" s="50"/>
      <c r="K45" s="50"/>
      <c r="L45" s="74"/>
      <c r="M45" s="74"/>
      <c r="N45" s="80"/>
      <c r="O45" s="74"/>
      <c r="P45" s="50"/>
      <c r="Q45" s="50"/>
      <c r="R45" s="50"/>
      <c r="S45" s="55"/>
      <c r="T45" s="55"/>
      <c r="U45" s="50"/>
      <c r="V45" s="50"/>
      <c r="W45" s="74"/>
      <c r="X45" s="74"/>
      <c r="Y45" s="73"/>
      <c r="Z45" s="50"/>
      <c r="AA45" s="50"/>
      <c r="AB45" s="50"/>
    </row>
    <row r="46" spans="1:28" s="30" customFormat="1" ht="24.75" customHeight="1">
      <c r="B46" s="74"/>
      <c r="C46" s="74"/>
      <c r="D46" s="50"/>
      <c r="E46" s="50"/>
      <c r="F46" s="50"/>
      <c r="G46" s="56"/>
      <c r="H46" s="56"/>
      <c r="I46" s="50"/>
      <c r="J46" s="50"/>
      <c r="K46" s="50"/>
      <c r="L46" s="74"/>
      <c r="M46" s="74"/>
      <c r="N46" s="80"/>
      <c r="O46" s="74"/>
      <c r="P46" s="50"/>
      <c r="Q46" s="50"/>
      <c r="R46" s="50"/>
      <c r="S46" s="55"/>
      <c r="T46" s="55"/>
      <c r="U46" s="50"/>
      <c r="V46" s="50"/>
      <c r="W46" s="74"/>
      <c r="X46" s="74"/>
      <c r="Y46" s="73"/>
      <c r="Z46" s="50"/>
      <c r="AA46" s="50"/>
      <c r="AB46" s="50"/>
    </row>
    <row r="47" spans="1:28" s="30" customFormat="1" ht="24.75" customHeight="1">
      <c r="B47" s="131" t="s">
        <v>46</v>
      </c>
      <c r="C47" s="131"/>
      <c r="D47" s="131"/>
      <c r="E47" s="131"/>
      <c r="F47" s="85"/>
      <c r="G47" s="85"/>
      <c r="H47" s="85"/>
      <c r="I47" s="85"/>
      <c r="J47" s="85"/>
      <c r="K47" s="131" t="s">
        <v>55</v>
      </c>
      <c r="L47" s="131"/>
      <c r="M47" s="131"/>
      <c r="N47" s="131"/>
      <c r="O47" s="131"/>
      <c r="P47" s="50"/>
      <c r="Q47" s="50"/>
      <c r="R47" s="50"/>
      <c r="S47" s="55"/>
      <c r="T47" s="55"/>
      <c r="U47" s="50"/>
      <c r="V47" s="50"/>
      <c r="W47" s="130" t="s">
        <v>57</v>
      </c>
      <c r="X47" s="130"/>
      <c r="Y47" s="130"/>
      <c r="Z47" s="50"/>
      <c r="AA47" s="50"/>
      <c r="AB47" s="50"/>
    </row>
    <row r="48" spans="1:28" s="30" customFormat="1" ht="30.75" customHeight="1">
      <c r="B48" s="131" t="s">
        <v>47</v>
      </c>
      <c r="C48" s="131"/>
      <c r="D48" s="131"/>
      <c r="E48" s="131"/>
      <c r="F48" s="85"/>
      <c r="G48" s="85"/>
      <c r="H48" s="85"/>
      <c r="I48" s="85"/>
      <c r="J48" s="85"/>
      <c r="K48" s="131" t="s">
        <v>56</v>
      </c>
      <c r="L48" s="131"/>
      <c r="M48" s="131"/>
      <c r="N48" s="131"/>
      <c r="O48" s="131"/>
      <c r="P48" s="50"/>
      <c r="Q48" s="50"/>
      <c r="R48" s="50"/>
      <c r="S48" s="55"/>
      <c r="T48" s="55"/>
      <c r="U48" s="50"/>
      <c r="V48" s="50"/>
      <c r="W48" s="130" t="s">
        <v>48</v>
      </c>
      <c r="X48" s="130"/>
      <c r="Y48" s="130"/>
      <c r="Z48" s="50"/>
      <c r="AA48" s="50"/>
      <c r="AB48" s="50"/>
    </row>
    <row r="49" spans="2:28" s="30" customFormat="1" ht="13.5" customHeight="1">
      <c r="B49" s="50"/>
      <c r="C49" s="50"/>
      <c r="D49" s="50"/>
      <c r="E49" s="50"/>
      <c r="F49" s="50"/>
      <c r="G49" s="56"/>
      <c r="H49" s="56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5"/>
      <c r="T49" s="55"/>
      <c r="U49" s="50"/>
      <c r="V49" s="50"/>
      <c r="W49" s="50"/>
      <c r="X49" s="50"/>
      <c r="Y49" s="50"/>
      <c r="Z49" s="50"/>
      <c r="AA49" s="50"/>
      <c r="AB49" s="50"/>
    </row>
    <row r="50" spans="2:28" ht="18.75" customHeight="1"/>
    <row r="51" spans="2:28" ht="18.75" customHeight="1"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64"/>
    </row>
    <row r="52" spans="2:28" ht="18.75" customHeight="1">
      <c r="D52" s="53"/>
      <c r="L52" s="53"/>
      <c r="N52" s="129"/>
      <c r="O52" s="129"/>
    </row>
    <row r="53" spans="2:28" ht="18.75" customHeight="1"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77"/>
      <c r="O53" s="76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2:28" ht="18.75" customHeight="1">
      <c r="N54" s="77"/>
      <c r="O54" s="76"/>
    </row>
    <row r="55" spans="2:28" ht="21.75" customHeight="1">
      <c r="N55" s="129"/>
      <c r="O55" s="129"/>
    </row>
    <row r="56" spans="2:28" ht="13.5" customHeight="1">
      <c r="N56" s="129"/>
      <c r="O56" s="129"/>
    </row>
    <row r="57" spans="2:28" ht="13.5" customHeight="1"/>
    <row r="58" spans="2:28" ht="13.5" customHeight="1"/>
  </sheetData>
  <mergeCells count="65">
    <mergeCell ref="C25:C27"/>
    <mergeCell ref="A19:B19"/>
    <mergeCell ref="W47:Y47"/>
    <mergeCell ref="W48:Y48"/>
    <mergeCell ref="A31:B31"/>
    <mergeCell ref="D25:D27"/>
    <mergeCell ref="E26:K26"/>
    <mergeCell ref="A34:C34"/>
    <mergeCell ref="A29:B29"/>
    <mergeCell ref="A30:B30"/>
    <mergeCell ref="A28:B28"/>
    <mergeCell ref="E25:R25"/>
    <mergeCell ref="L26:R26"/>
    <mergeCell ref="W44:Y44"/>
    <mergeCell ref="A32:B32"/>
    <mergeCell ref="A33:C33"/>
    <mergeCell ref="A25:B27"/>
    <mergeCell ref="W11:W12"/>
    <mergeCell ref="A21:U21"/>
    <mergeCell ref="B1:C1"/>
    <mergeCell ref="D9:AA9"/>
    <mergeCell ref="A4:AA4"/>
    <mergeCell ref="A5:AA5"/>
    <mergeCell ref="A6:AA6"/>
    <mergeCell ref="AA1:AB1"/>
    <mergeCell ref="Z3:AA3"/>
    <mergeCell ref="A7:AA7"/>
    <mergeCell ref="C9:C12"/>
    <mergeCell ref="D11:D12"/>
    <mergeCell ref="I11:I12"/>
    <mergeCell ref="L11:L12"/>
    <mergeCell ref="M11:M12"/>
    <mergeCell ref="X11:X12"/>
    <mergeCell ref="P11:P12"/>
    <mergeCell ref="A16:B16"/>
    <mergeCell ref="A9:B12"/>
    <mergeCell ref="E11:F11"/>
    <mergeCell ref="G11:H11"/>
    <mergeCell ref="S11:T11"/>
    <mergeCell ref="D10:O10"/>
    <mergeCell ref="P10:AA10"/>
    <mergeCell ref="Y11:Y12"/>
    <mergeCell ref="Z11:Z12"/>
    <mergeCell ref="AA11:AA12"/>
    <mergeCell ref="A14:B14"/>
    <mergeCell ref="A15:B15"/>
    <mergeCell ref="U11:U12"/>
    <mergeCell ref="V11:V12"/>
    <mergeCell ref="A18:B18"/>
    <mergeCell ref="A17:B17"/>
    <mergeCell ref="O11:O12"/>
    <mergeCell ref="Q11:R11"/>
    <mergeCell ref="A13:B13"/>
    <mergeCell ref="J11:J12"/>
    <mergeCell ref="K11:K12"/>
    <mergeCell ref="N11:N12"/>
    <mergeCell ref="N52:O52"/>
    <mergeCell ref="N55:O55"/>
    <mergeCell ref="N56:O56"/>
    <mergeCell ref="B44:D44"/>
    <mergeCell ref="L44:N44"/>
    <mergeCell ref="K47:O47"/>
    <mergeCell ref="K48:O48"/>
    <mergeCell ref="B48:E48"/>
    <mergeCell ref="B47:E47"/>
  </mergeCells>
  <printOptions horizontalCentered="1"/>
  <pageMargins left="0.19685039370078741" right="0.19685039370078741" top="0.19685039370078741" bottom="0.19685039370078741" header="0" footer="0"/>
  <pageSetup paperSize="17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A103"/>
  <sheetViews>
    <sheetView view="pageBreakPreview" zoomScaleNormal="90" zoomScaleSheetLayoutView="100" workbookViewId="0">
      <pane xSplit="2" ySplit="13" topLeftCell="C26" activePane="bottomRight" state="frozen"/>
      <selection pane="topRight" activeCell="C1" sqref="C1"/>
      <selection pane="bottomLeft" activeCell="A18" sqref="A18"/>
      <selection pane="bottomRight" activeCell="J35" sqref="J35"/>
    </sheetView>
  </sheetViews>
  <sheetFormatPr baseColWidth="10" defaultColWidth="11.453125" defaultRowHeight="11.5"/>
  <cols>
    <col min="1" max="1" width="4.1796875" style="3" customWidth="1"/>
    <col min="2" max="2" width="28.81640625" style="3" customWidth="1"/>
    <col min="3" max="28" width="11.7265625" style="3" customWidth="1"/>
    <col min="29" max="29" width="11.7265625" style="39" customWidth="1"/>
    <col min="30" max="42" width="11.7265625" style="3" customWidth="1"/>
    <col min="43" max="46" width="10.7265625" style="3" customWidth="1"/>
    <col min="47" max="47" width="12.1796875" style="3" bestFit="1" customWidth="1"/>
    <col min="48" max="16384" width="11.453125" style="3"/>
  </cols>
  <sheetData>
    <row r="1" spans="1:47">
      <c r="A1" s="186"/>
      <c r="B1" s="186"/>
      <c r="C1" s="186"/>
      <c r="D1" s="186"/>
      <c r="AR1" s="186"/>
      <c r="AS1" s="186"/>
      <c r="AT1" s="186"/>
    </row>
    <row r="4" spans="1:47" s="1" customFormat="1">
      <c r="A4" s="155" t="s">
        <v>34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2"/>
    </row>
    <row r="5" spans="1:47" s="1" customFormat="1">
      <c r="A5" s="155" t="s">
        <v>64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2"/>
    </row>
    <row r="6" spans="1:47" s="1" customFormat="1">
      <c r="A6" s="155" t="s">
        <v>26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2"/>
    </row>
    <row r="7" spans="1:47" s="1" customFormat="1" ht="12" thickBot="1">
      <c r="A7" s="155" t="s">
        <v>27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2"/>
    </row>
    <row r="8" spans="1:47" s="1" customFormat="1" ht="18" customHeight="1" thickBo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10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63" t="s">
        <v>33</v>
      </c>
      <c r="AT8" s="164"/>
      <c r="AU8" s="2"/>
    </row>
    <row r="9" spans="1:47" s="1" customFormat="1" ht="17.25" customHeight="1" thickBot="1">
      <c r="AC9" s="40"/>
    </row>
    <row r="10" spans="1:47" ht="12" thickBot="1">
      <c r="A10" s="172" t="s">
        <v>14</v>
      </c>
      <c r="B10" s="173" t="s">
        <v>15</v>
      </c>
      <c r="C10" s="174" t="s">
        <v>63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6"/>
    </row>
    <row r="11" spans="1:47" ht="12.75" customHeight="1" thickBot="1">
      <c r="A11" s="172"/>
      <c r="B11" s="173"/>
      <c r="C11" s="177" t="s">
        <v>13</v>
      </c>
      <c r="D11" s="178"/>
      <c r="E11" s="178"/>
      <c r="F11" s="179"/>
      <c r="G11" s="183" t="s">
        <v>40</v>
      </c>
      <c r="H11" s="184"/>
      <c r="I11" s="184"/>
      <c r="J11" s="184"/>
      <c r="K11" s="184"/>
      <c r="L11" s="184"/>
      <c r="M11" s="184"/>
      <c r="N11" s="185"/>
      <c r="O11" s="183" t="s">
        <v>41</v>
      </c>
      <c r="P11" s="184"/>
      <c r="Q11" s="184"/>
      <c r="R11" s="184"/>
      <c r="S11" s="184"/>
      <c r="T11" s="184"/>
      <c r="U11" s="184"/>
      <c r="V11" s="185"/>
      <c r="W11" s="177" t="s">
        <v>19</v>
      </c>
      <c r="X11" s="178"/>
      <c r="Y11" s="178"/>
      <c r="Z11" s="179"/>
      <c r="AA11" s="177" t="s">
        <v>12</v>
      </c>
      <c r="AB11" s="178"/>
      <c r="AC11" s="178"/>
      <c r="AD11" s="179"/>
      <c r="AE11" s="177" t="s">
        <v>7</v>
      </c>
      <c r="AF11" s="178"/>
      <c r="AG11" s="178"/>
      <c r="AH11" s="179"/>
      <c r="AI11" s="177" t="s">
        <v>1</v>
      </c>
      <c r="AJ11" s="178"/>
      <c r="AK11" s="178"/>
      <c r="AL11" s="179"/>
      <c r="AM11" s="177" t="s">
        <v>11</v>
      </c>
      <c r="AN11" s="178"/>
      <c r="AO11" s="178"/>
      <c r="AP11" s="179"/>
      <c r="AQ11" s="177" t="s">
        <v>31</v>
      </c>
      <c r="AR11" s="178"/>
      <c r="AS11" s="178"/>
      <c r="AT11" s="179"/>
    </row>
    <row r="12" spans="1:47" ht="12.75" customHeight="1" thickBot="1">
      <c r="A12" s="172"/>
      <c r="B12" s="173"/>
      <c r="C12" s="180"/>
      <c r="D12" s="181"/>
      <c r="E12" s="181"/>
      <c r="F12" s="182"/>
      <c r="G12" s="183" t="s">
        <v>4</v>
      </c>
      <c r="H12" s="184"/>
      <c r="I12" s="184"/>
      <c r="J12" s="185"/>
      <c r="K12" s="183" t="s">
        <v>5</v>
      </c>
      <c r="L12" s="184"/>
      <c r="M12" s="184"/>
      <c r="N12" s="185"/>
      <c r="O12" s="183" t="s">
        <v>4</v>
      </c>
      <c r="P12" s="184"/>
      <c r="Q12" s="184"/>
      <c r="R12" s="185"/>
      <c r="S12" s="183" t="s">
        <v>5</v>
      </c>
      <c r="T12" s="184"/>
      <c r="U12" s="184"/>
      <c r="V12" s="185"/>
      <c r="W12" s="180"/>
      <c r="X12" s="181"/>
      <c r="Y12" s="181"/>
      <c r="Z12" s="182"/>
      <c r="AA12" s="180"/>
      <c r="AB12" s="181"/>
      <c r="AC12" s="181"/>
      <c r="AD12" s="182"/>
      <c r="AE12" s="180"/>
      <c r="AF12" s="181"/>
      <c r="AG12" s="181"/>
      <c r="AH12" s="182"/>
      <c r="AI12" s="180"/>
      <c r="AJ12" s="181"/>
      <c r="AK12" s="181"/>
      <c r="AL12" s="182"/>
      <c r="AM12" s="180"/>
      <c r="AN12" s="181"/>
      <c r="AO12" s="181"/>
      <c r="AP12" s="182"/>
      <c r="AQ12" s="180"/>
      <c r="AR12" s="181"/>
      <c r="AS12" s="181"/>
      <c r="AT12" s="182"/>
    </row>
    <row r="13" spans="1:47" ht="21" customHeight="1" thickBot="1">
      <c r="A13" s="172"/>
      <c r="B13" s="173"/>
      <c r="C13" s="8" t="s">
        <v>16</v>
      </c>
      <c r="D13" s="8" t="s">
        <v>17</v>
      </c>
      <c r="E13" s="8" t="s">
        <v>18</v>
      </c>
      <c r="F13" s="8" t="s">
        <v>0</v>
      </c>
      <c r="G13" s="8" t="s">
        <v>16</v>
      </c>
      <c r="H13" s="8" t="s">
        <v>17</v>
      </c>
      <c r="I13" s="8" t="s">
        <v>18</v>
      </c>
      <c r="J13" s="8" t="s">
        <v>0</v>
      </c>
      <c r="K13" s="8" t="s">
        <v>16</v>
      </c>
      <c r="L13" s="8" t="s">
        <v>17</v>
      </c>
      <c r="M13" s="8" t="s">
        <v>18</v>
      </c>
      <c r="N13" s="8" t="s">
        <v>0</v>
      </c>
      <c r="O13" s="8" t="s">
        <v>16</v>
      </c>
      <c r="P13" s="8" t="s">
        <v>17</v>
      </c>
      <c r="Q13" s="8" t="s">
        <v>18</v>
      </c>
      <c r="R13" s="8" t="s">
        <v>0</v>
      </c>
      <c r="S13" s="8" t="s">
        <v>16</v>
      </c>
      <c r="T13" s="8" t="s">
        <v>17</v>
      </c>
      <c r="U13" s="8" t="s">
        <v>18</v>
      </c>
      <c r="V13" s="8" t="s">
        <v>0</v>
      </c>
      <c r="W13" s="8" t="s">
        <v>16</v>
      </c>
      <c r="X13" s="8" t="s">
        <v>17</v>
      </c>
      <c r="Y13" s="8" t="s">
        <v>18</v>
      </c>
      <c r="Z13" s="8" t="s">
        <v>0</v>
      </c>
      <c r="AA13" s="8" t="s">
        <v>16</v>
      </c>
      <c r="AB13" s="8" t="s">
        <v>17</v>
      </c>
      <c r="AC13" s="8" t="s">
        <v>18</v>
      </c>
      <c r="AD13" s="8" t="s">
        <v>0</v>
      </c>
      <c r="AE13" s="8" t="s">
        <v>16</v>
      </c>
      <c r="AF13" s="8" t="s">
        <v>17</v>
      </c>
      <c r="AG13" s="8" t="s">
        <v>18</v>
      </c>
      <c r="AH13" s="8" t="s">
        <v>0</v>
      </c>
      <c r="AI13" s="8" t="s">
        <v>16</v>
      </c>
      <c r="AJ13" s="8" t="s">
        <v>17</v>
      </c>
      <c r="AK13" s="8" t="s">
        <v>18</v>
      </c>
      <c r="AL13" s="8" t="s">
        <v>0</v>
      </c>
      <c r="AM13" s="8" t="s">
        <v>16</v>
      </c>
      <c r="AN13" s="8" t="s">
        <v>17</v>
      </c>
      <c r="AO13" s="8" t="s">
        <v>18</v>
      </c>
      <c r="AP13" s="8" t="s">
        <v>0</v>
      </c>
      <c r="AQ13" s="8" t="s">
        <v>16</v>
      </c>
      <c r="AR13" s="8" t="s">
        <v>17</v>
      </c>
      <c r="AS13" s="8" t="s">
        <v>18</v>
      </c>
      <c r="AT13" s="8" t="s">
        <v>0</v>
      </c>
    </row>
    <row r="14" spans="1:47" ht="53.25" customHeight="1">
      <c r="A14" s="28">
        <v>1</v>
      </c>
      <c r="B14" s="27" t="s">
        <v>58</v>
      </c>
      <c r="C14" s="89">
        <v>97891</v>
      </c>
      <c r="D14" s="89">
        <v>44972</v>
      </c>
      <c r="E14" s="89">
        <v>44972</v>
      </c>
      <c r="F14" s="90">
        <f>SUM(C14:E14)</f>
        <v>187835</v>
      </c>
      <c r="G14" s="89">
        <f>600+4000</f>
        <v>4600</v>
      </c>
      <c r="H14" s="89">
        <f>425+13250+1618.2+2224</f>
        <v>17517.2</v>
      </c>
      <c r="I14" s="89">
        <f>425+13250+1618.2+2224</f>
        <v>17517.2</v>
      </c>
      <c r="J14" s="90">
        <f>SUM(G14:I14)</f>
        <v>39634.400000000001</v>
      </c>
      <c r="K14" s="89">
        <f>600+4000</f>
        <v>4600</v>
      </c>
      <c r="L14" s="89">
        <f>2649+55.49+14812.71</f>
        <v>17517.199999999997</v>
      </c>
      <c r="M14" s="89">
        <f>2649+55.48+14812.72</f>
        <v>17517.2</v>
      </c>
      <c r="N14" s="90">
        <f>SUM(K14:M14)</f>
        <v>39634.399999999994</v>
      </c>
      <c r="O14" s="89">
        <v>4800</v>
      </c>
      <c r="P14" s="89">
        <f>220+360.43</f>
        <v>580.43000000000006</v>
      </c>
      <c r="Q14" s="89">
        <f>220+360.43</f>
        <v>580.43000000000006</v>
      </c>
      <c r="R14" s="90">
        <f>SUM(O14:Q14)</f>
        <v>5960.8600000000006</v>
      </c>
      <c r="S14" s="89">
        <f t="shared" ref="S14:U15" si="0">O14</f>
        <v>4800</v>
      </c>
      <c r="T14" s="89">
        <f t="shared" si="0"/>
        <v>580.43000000000006</v>
      </c>
      <c r="U14" s="89">
        <f t="shared" si="0"/>
        <v>580.43000000000006</v>
      </c>
      <c r="V14" s="90">
        <f>SUM(S14:U14)</f>
        <v>5960.8600000000006</v>
      </c>
      <c r="W14" s="92">
        <f>C14+G14-K14+O14-S14</f>
        <v>97891</v>
      </c>
      <c r="X14" s="92">
        <f>D14+H14-L14+P14-T14</f>
        <v>44972</v>
      </c>
      <c r="Y14" s="92">
        <f>E14+I14-M14+Q14-U14</f>
        <v>44972</v>
      </c>
      <c r="Z14" s="90">
        <f>SUM(W14:Y14)</f>
        <v>187835</v>
      </c>
      <c r="AA14" s="89">
        <v>59834.02</v>
      </c>
      <c r="AB14" s="89">
        <v>22933.54</v>
      </c>
      <c r="AC14" s="89">
        <v>22933.55</v>
      </c>
      <c r="AD14" s="90">
        <f>SUM(AA14:AC14)</f>
        <v>105701.11</v>
      </c>
      <c r="AE14" s="89">
        <v>59834.02</v>
      </c>
      <c r="AF14" s="89">
        <v>22933.54</v>
      </c>
      <c r="AG14" s="89">
        <v>22933.55</v>
      </c>
      <c r="AH14" s="90">
        <f>SUM(AE14:AG14)</f>
        <v>105701.11</v>
      </c>
      <c r="AI14" s="89">
        <v>59834.02</v>
      </c>
      <c r="AJ14" s="89">
        <v>22933.54</v>
      </c>
      <c r="AK14" s="89">
        <v>22933.55</v>
      </c>
      <c r="AL14" s="90">
        <f>SUM(AI14:AK14)</f>
        <v>105701.11</v>
      </c>
      <c r="AM14" s="89">
        <v>59834.02</v>
      </c>
      <c r="AN14" s="89">
        <v>22933.54</v>
      </c>
      <c r="AO14" s="89">
        <v>22933.55</v>
      </c>
      <c r="AP14" s="90">
        <f>SUM(AM14:AO14)</f>
        <v>105701.11</v>
      </c>
      <c r="AQ14" s="92">
        <f>(W14-AI14)</f>
        <v>38056.980000000003</v>
      </c>
      <c r="AR14" s="92">
        <f>(X14-AJ14)</f>
        <v>22038.46</v>
      </c>
      <c r="AS14" s="92">
        <f>(Y14-AK14)</f>
        <v>22038.45</v>
      </c>
      <c r="AT14" s="92">
        <f>SUM(AQ14:AS14)</f>
        <v>82133.89</v>
      </c>
    </row>
    <row r="15" spans="1:47" ht="53.25" customHeight="1">
      <c r="A15" s="28">
        <v>2</v>
      </c>
      <c r="B15" s="27" t="s">
        <v>59</v>
      </c>
      <c r="C15" s="89">
        <v>303737</v>
      </c>
      <c r="D15" s="89">
        <v>425609</v>
      </c>
      <c r="E15" s="89">
        <v>425609</v>
      </c>
      <c r="F15" s="90">
        <f>SUM(C15:E15)</f>
        <v>1154955</v>
      </c>
      <c r="G15" s="89">
        <f>122987.84+127136+2725.4</f>
        <v>252849.24</v>
      </c>
      <c r="H15" s="89">
        <f>1075+107.82+414+105+79.81+23.5+1467.68+650+933.84+210+31204+1856+3668.5+1118.47</f>
        <v>42913.62</v>
      </c>
      <c r="I15" s="89">
        <f>1075+107.83+414+105.01+79.81+23.5+1467.67+650+933.85+210+31204+1856+3668.5+1118.53</f>
        <v>42913.7</v>
      </c>
      <c r="J15" s="90">
        <f>SUM(G15:I15)</f>
        <v>338676.56</v>
      </c>
      <c r="K15" s="89">
        <f>127136+2725.4</f>
        <v>129861.4</v>
      </c>
      <c r="L15" s="89">
        <f>624+23.5+1259.81+1476.5+749+933.84+1611+4000+8221.5+562.75+377+13226.34+500+250+9098.38</f>
        <v>42913.62</v>
      </c>
      <c r="M15" s="89">
        <f>624+23.5+1259.82+1476.5+749+933.85+1611+4000+8221.5+562.75+377+13226.35+500+250+9098.43</f>
        <v>42913.7</v>
      </c>
      <c r="N15" s="90">
        <f>SUM(K15:M15)</f>
        <v>215688.71999999997</v>
      </c>
      <c r="O15" s="89">
        <f>3379+48974.9</f>
        <v>52353.9</v>
      </c>
      <c r="P15" s="89">
        <f>1000+56642.28</f>
        <v>57642.28</v>
      </c>
      <c r="Q15" s="89">
        <f>1000+56642.24</f>
        <v>57642.239999999998</v>
      </c>
      <c r="R15" s="90">
        <f>SUM(O15:Q15)</f>
        <v>167638.41999999998</v>
      </c>
      <c r="S15" s="89">
        <f t="shared" si="0"/>
        <v>52353.9</v>
      </c>
      <c r="T15" s="89">
        <f t="shared" si="0"/>
        <v>57642.28</v>
      </c>
      <c r="U15" s="89">
        <f t="shared" si="0"/>
        <v>57642.239999999998</v>
      </c>
      <c r="V15" s="90">
        <f>SUM(S15:U15)</f>
        <v>167638.41999999998</v>
      </c>
      <c r="W15" s="92">
        <f>C15+G15-K15+O15-S15</f>
        <v>426724.83999999997</v>
      </c>
      <c r="X15" s="92">
        <f t="shared" ref="X15:X18" si="1">D15+H15-L15+P15-T15</f>
        <v>425609</v>
      </c>
      <c r="Y15" s="92">
        <f t="shared" ref="Y15:Y18" si="2">E15+I15-M15+Q15-U15</f>
        <v>425609</v>
      </c>
      <c r="Z15" s="90">
        <f t="shared" ref="Z15:Z18" si="3">SUM(W15:Y15)</f>
        <v>1277942.8399999999</v>
      </c>
      <c r="AA15" s="89">
        <v>574393.28</v>
      </c>
      <c r="AB15" s="89">
        <v>166103.38</v>
      </c>
      <c r="AC15" s="89">
        <v>166103.38</v>
      </c>
      <c r="AD15" s="90">
        <f>SUM(AA15:AC15)</f>
        <v>906600.04</v>
      </c>
      <c r="AE15" s="89">
        <v>574393.28</v>
      </c>
      <c r="AF15" s="89">
        <v>166103.38</v>
      </c>
      <c r="AG15" s="89">
        <v>166103.38</v>
      </c>
      <c r="AH15" s="90">
        <f>SUM(AE15:AG15)</f>
        <v>906600.04</v>
      </c>
      <c r="AI15" s="89">
        <v>574393.28</v>
      </c>
      <c r="AJ15" s="89">
        <v>166103.38</v>
      </c>
      <c r="AK15" s="89">
        <v>166103.38</v>
      </c>
      <c r="AL15" s="90">
        <f>SUM(AI15:AK15)</f>
        <v>906600.04</v>
      </c>
      <c r="AM15" s="89">
        <v>574393.28</v>
      </c>
      <c r="AN15" s="89">
        <v>166103.38</v>
      </c>
      <c r="AO15" s="89">
        <v>166103.38</v>
      </c>
      <c r="AP15" s="90">
        <f>SUM(AM15:AO15)</f>
        <v>906600.04</v>
      </c>
      <c r="AQ15" s="92">
        <f t="shared" ref="AQ15:AQ18" si="4">(W15-AI15)</f>
        <v>-147668.44000000006</v>
      </c>
      <c r="AR15" s="92">
        <f t="shared" ref="AR15:AR17" si="5">(X15-AJ15)</f>
        <v>259505.62</v>
      </c>
      <c r="AS15" s="92">
        <f t="shared" ref="AS15:AS18" si="6">(Y15-AK15)</f>
        <v>259505.62</v>
      </c>
      <c r="AT15" s="92">
        <f>SUM(AQ15:AS15)</f>
        <v>371342.79999999993</v>
      </c>
    </row>
    <row r="16" spans="1:47" ht="53.25" customHeight="1">
      <c r="A16" s="28">
        <v>3</v>
      </c>
      <c r="B16" s="27" t="s">
        <v>60</v>
      </c>
      <c r="C16" s="89">
        <v>0</v>
      </c>
      <c r="D16" s="103">
        <v>13500</v>
      </c>
      <c r="E16" s="103">
        <v>13500</v>
      </c>
      <c r="F16" s="104">
        <f>SUM(C16:E16)</f>
        <v>27000</v>
      </c>
      <c r="G16" s="89">
        <v>0</v>
      </c>
      <c r="H16" s="89">
        <v>0</v>
      </c>
      <c r="I16" s="89">
        <v>0</v>
      </c>
      <c r="J16" s="90">
        <f t="shared" ref="J16:J18" si="7">SUM(G16:I16)</f>
        <v>0</v>
      </c>
      <c r="K16" s="89">
        <v>0</v>
      </c>
      <c r="L16" s="89">
        <v>0</v>
      </c>
      <c r="M16" s="89">
        <v>0</v>
      </c>
      <c r="N16" s="90">
        <f t="shared" ref="N16:N18" si="8">SUM(K16:M16)</f>
        <v>0</v>
      </c>
      <c r="O16" s="89">
        <v>0</v>
      </c>
      <c r="P16" s="89">
        <v>0</v>
      </c>
      <c r="Q16" s="89">
        <v>0</v>
      </c>
      <c r="R16" s="90">
        <f t="shared" ref="R16:R17" si="9">SUM(O16:Q16)</f>
        <v>0</v>
      </c>
      <c r="S16" s="89">
        <f>O16</f>
        <v>0</v>
      </c>
      <c r="T16" s="89">
        <f>P16</f>
        <v>0</v>
      </c>
      <c r="U16" s="89">
        <f>Q16</f>
        <v>0</v>
      </c>
      <c r="V16" s="90">
        <f t="shared" ref="V16:V18" si="10">SUM(S16:U16)</f>
        <v>0</v>
      </c>
      <c r="W16" s="92">
        <f t="shared" ref="W16:W18" si="11">C16+G16-K16+O16-S16</f>
        <v>0</v>
      </c>
      <c r="X16" s="92">
        <f t="shared" si="1"/>
        <v>13500</v>
      </c>
      <c r="Y16" s="92">
        <f t="shared" si="2"/>
        <v>13500</v>
      </c>
      <c r="Z16" s="90">
        <f t="shared" si="3"/>
        <v>27000</v>
      </c>
      <c r="AA16" s="89">
        <v>0</v>
      </c>
      <c r="AB16" s="89">
        <v>0</v>
      </c>
      <c r="AC16" s="89">
        <v>0</v>
      </c>
      <c r="AD16" s="90">
        <f>SUM(AA16:AC16)</f>
        <v>0</v>
      </c>
      <c r="AE16" s="89">
        <v>0</v>
      </c>
      <c r="AF16" s="89">
        <v>0</v>
      </c>
      <c r="AG16" s="89">
        <v>0</v>
      </c>
      <c r="AH16" s="90">
        <f>SUM(AE16:AG16)</f>
        <v>0</v>
      </c>
      <c r="AI16" s="89">
        <v>0</v>
      </c>
      <c r="AJ16" s="89">
        <v>0</v>
      </c>
      <c r="AK16" s="89">
        <v>0</v>
      </c>
      <c r="AL16" s="90">
        <f>SUM(AI16:AK16)</f>
        <v>0</v>
      </c>
      <c r="AM16" s="92">
        <v>0</v>
      </c>
      <c r="AN16" s="89">
        <v>0</v>
      </c>
      <c r="AO16" s="89">
        <v>0</v>
      </c>
      <c r="AP16" s="90">
        <f>SUM(AM16:AO16)</f>
        <v>0</v>
      </c>
      <c r="AQ16" s="92">
        <f t="shared" si="4"/>
        <v>0</v>
      </c>
      <c r="AR16" s="92">
        <f t="shared" si="5"/>
        <v>13500</v>
      </c>
      <c r="AS16" s="92">
        <f t="shared" si="6"/>
        <v>13500</v>
      </c>
      <c r="AT16" s="92">
        <f>SUM(AQ16:AS16)</f>
        <v>27000</v>
      </c>
    </row>
    <row r="17" spans="1:48" ht="53.25" customHeight="1">
      <c r="A17" s="28">
        <v>4</v>
      </c>
      <c r="B17" s="27" t="s">
        <v>61</v>
      </c>
      <c r="C17" s="89">
        <v>0</v>
      </c>
      <c r="D17" s="89">
        <v>115000</v>
      </c>
      <c r="E17" s="89">
        <v>115000</v>
      </c>
      <c r="F17" s="90">
        <f>SUM(C17:E17)</f>
        <v>230000</v>
      </c>
      <c r="G17" s="89">
        <v>0</v>
      </c>
      <c r="H17" s="89">
        <f>3569.5+93+85</f>
        <v>3747.5</v>
      </c>
      <c r="I17" s="89">
        <f>3569.5+93+85</f>
        <v>3747.5</v>
      </c>
      <c r="J17" s="90">
        <f t="shared" si="7"/>
        <v>7495</v>
      </c>
      <c r="K17" s="89">
        <v>0</v>
      </c>
      <c r="L17" s="89">
        <f>3569.5+178</f>
        <v>3747.5</v>
      </c>
      <c r="M17" s="89">
        <f>3569.5+178</f>
        <v>3747.5</v>
      </c>
      <c r="N17" s="90">
        <f t="shared" si="8"/>
        <v>7495</v>
      </c>
      <c r="O17" s="89">
        <v>0</v>
      </c>
      <c r="P17" s="89">
        <v>0</v>
      </c>
      <c r="Q17" s="89">
        <v>0</v>
      </c>
      <c r="R17" s="90">
        <f t="shared" si="9"/>
        <v>0</v>
      </c>
      <c r="S17" s="89">
        <v>0</v>
      </c>
      <c r="T17" s="89">
        <v>0</v>
      </c>
      <c r="U17" s="89">
        <v>0</v>
      </c>
      <c r="V17" s="90">
        <f t="shared" si="10"/>
        <v>0</v>
      </c>
      <c r="W17" s="92">
        <f t="shared" si="11"/>
        <v>0</v>
      </c>
      <c r="X17" s="92">
        <f t="shared" si="1"/>
        <v>115000</v>
      </c>
      <c r="Y17" s="92">
        <f t="shared" si="2"/>
        <v>115000</v>
      </c>
      <c r="Z17" s="90">
        <f t="shared" si="3"/>
        <v>230000</v>
      </c>
      <c r="AA17" s="89">
        <v>0</v>
      </c>
      <c r="AB17" s="89">
        <v>3747.5</v>
      </c>
      <c r="AC17" s="89">
        <v>3747.5</v>
      </c>
      <c r="AD17" s="90">
        <f>SUM(AA17:AC17)</f>
        <v>7495</v>
      </c>
      <c r="AE17" s="89">
        <v>0</v>
      </c>
      <c r="AF17" s="89">
        <v>3747.5</v>
      </c>
      <c r="AG17" s="89">
        <v>3747.5</v>
      </c>
      <c r="AH17" s="90">
        <f>SUM(AE17:AG17)</f>
        <v>7495</v>
      </c>
      <c r="AI17" s="89">
        <v>0</v>
      </c>
      <c r="AJ17" s="89">
        <v>3747.5</v>
      </c>
      <c r="AK17" s="89">
        <v>3747.5</v>
      </c>
      <c r="AL17" s="90">
        <f>SUM(AI17:AK17)</f>
        <v>7495</v>
      </c>
      <c r="AM17" s="92">
        <v>0</v>
      </c>
      <c r="AN17" s="89">
        <v>3747.5</v>
      </c>
      <c r="AO17" s="89">
        <v>3747.5</v>
      </c>
      <c r="AP17" s="90">
        <f>SUM(AM17:AO17)</f>
        <v>7495</v>
      </c>
      <c r="AQ17" s="92">
        <f t="shared" si="4"/>
        <v>0</v>
      </c>
      <c r="AR17" s="92">
        <f t="shared" si="5"/>
        <v>111252.5</v>
      </c>
      <c r="AS17" s="92">
        <f t="shared" si="6"/>
        <v>111252.5</v>
      </c>
      <c r="AT17" s="92">
        <f>SUM(AQ17:AS17)</f>
        <v>222505</v>
      </c>
    </row>
    <row r="18" spans="1:48" ht="53.25" customHeight="1">
      <c r="A18" s="28">
        <v>5</v>
      </c>
      <c r="B18" s="27" t="s">
        <v>62</v>
      </c>
      <c r="C18" s="89">
        <v>2671330.5700000003</v>
      </c>
      <c r="D18" s="89">
        <v>6058277.8700000001</v>
      </c>
      <c r="E18" s="89">
        <v>6058277.8700000001</v>
      </c>
      <c r="F18" s="90">
        <f>SUM(C18:E18)</f>
        <v>14787886.310000002</v>
      </c>
      <c r="G18" s="89">
        <f>67375.7+464+18467.2+10301.38+7888+5220</f>
        <v>109716.28</v>
      </c>
      <c r="H18" s="89">
        <f>2650+450+300+2702.8+1497.5+5916.05+2384.75+12415.99+3746.6+43.5+11593.49+11115.52+14500+1504.72+681+1309.5+18000.35+1450+648.44+1229.6+581.5</f>
        <v>94721.31</v>
      </c>
      <c r="I18" s="89">
        <f>2650+450+300+2702.8+1497.5+5916.07+2384.76+12415.99+3746.61+43.5+11593.5+11115.53+14500+1504.71+681+1309.5+18000.35+1450+648.44+1229.6+581.5</f>
        <v>94721.360000000015</v>
      </c>
      <c r="J18" s="90">
        <f t="shared" si="7"/>
        <v>299158.95</v>
      </c>
      <c r="K18" s="89">
        <f>67375.7+7841.6+464+26146.98+7888</f>
        <v>109716.28</v>
      </c>
      <c r="L18" s="89">
        <f>2650+3995.75+9421.68+16635.16+16524.68+429+4351.44+635.99+172.5+14500+1549.72+306+1675.04+1480+20394.35</f>
        <v>94721.31</v>
      </c>
      <c r="M18" s="89">
        <f>2650+3995.75+9421.69+16635.18+16524.69+429.01+4351.45+636+172.49+14500+1549.71+306+1675.04+1480+20394.35</f>
        <v>94721.359999999986</v>
      </c>
      <c r="N18" s="90">
        <f t="shared" si="8"/>
        <v>299158.94999999995</v>
      </c>
      <c r="O18" s="89">
        <f>19973+20648</f>
        <v>40621</v>
      </c>
      <c r="P18" s="89">
        <f>43075.73+30213.77+5092.08+250+2520.74+1127.4+1995.2+2898.99+1081.5+214.33+100+727.5+3200.01+911.08+4408</f>
        <v>97816.33</v>
      </c>
      <c r="Q18" s="89">
        <f>43075.7+30213.76+5092.1+250+2520.73+1127.4+1995.2+2898.99+1081.5+214.33+100+727.51+3199.99+911.08+4408</f>
        <v>97816.29</v>
      </c>
      <c r="R18" s="90">
        <f>SUM(O18:Q18)</f>
        <v>236253.62</v>
      </c>
      <c r="S18" s="89">
        <f>O18</f>
        <v>40621</v>
      </c>
      <c r="T18" s="89">
        <f>P18</f>
        <v>97816.33</v>
      </c>
      <c r="U18" s="89">
        <f t="shared" ref="U18" si="12">Q18</f>
        <v>97816.29</v>
      </c>
      <c r="V18" s="90">
        <f t="shared" si="10"/>
        <v>236253.62</v>
      </c>
      <c r="W18" s="92">
        <f t="shared" si="11"/>
        <v>2671330.5700000003</v>
      </c>
      <c r="X18" s="92">
        <f t="shared" si="1"/>
        <v>6058277.8700000001</v>
      </c>
      <c r="Y18" s="92">
        <f t="shared" si="2"/>
        <v>6058277.8700000001</v>
      </c>
      <c r="Z18" s="90">
        <f t="shared" si="3"/>
        <v>14787886.310000002</v>
      </c>
      <c r="AA18" s="89">
        <v>1450686.13</v>
      </c>
      <c r="AB18" s="89">
        <v>5716013.9800000004</v>
      </c>
      <c r="AC18" s="89">
        <v>5716014.04</v>
      </c>
      <c r="AD18" s="90">
        <f>SUM(AA18:AC18)</f>
        <v>12882714.15</v>
      </c>
      <c r="AE18" s="89">
        <v>1450686.13</v>
      </c>
      <c r="AF18" s="89">
        <v>5716013.9800000004</v>
      </c>
      <c r="AG18" s="89">
        <v>5716014.04</v>
      </c>
      <c r="AH18" s="90">
        <f>SUM(AE18:AG18)</f>
        <v>12882714.15</v>
      </c>
      <c r="AI18" s="89">
        <v>1450686.13</v>
      </c>
      <c r="AJ18" s="89">
        <v>5716013.9800000004</v>
      </c>
      <c r="AK18" s="89">
        <v>5716014.04</v>
      </c>
      <c r="AL18" s="90">
        <f>SUM(AI18:AK18)</f>
        <v>12882714.15</v>
      </c>
      <c r="AM18" s="89">
        <v>1450685.66</v>
      </c>
      <c r="AN18" s="89">
        <v>5716014.21</v>
      </c>
      <c r="AO18" s="89">
        <v>5716014.2800000003</v>
      </c>
      <c r="AP18" s="90">
        <f>SUM(AM18:AO18)</f>
        <v>12882714.15</v>
      </c>
      <c r="AQ18" s="92">
        <f t="shared" si="4"/>
        <v>1220644.4400000004</v>
      </c>
      <c r="AR18" s="92">
        <f>(X18-AJ18)</f>
        <v>342263.88999999966</v>
      </c>
      <c r="AS18" s="92">
        <f t="shared" si="6"/>
        <v>342263.83000000007</v>
      </c>
      <c r="AT18" s="92">
        <f>SUM(AQ18:AS18)</f>
        <v>1905172.1600000001</v>
      </c>
    </row>
    <row r="19" spans="1:48" ht="6" customHeight="1" thickBot="1">
      <c r="A19" s="6"/>
      <c r="B19" s="4"/>
      <c r="C19" s="106"/>
      <c r="D19" s="106"/>
      <c r="E19" s="106"/>
      <c r="F19" s="90"/>
      <c r="G19" s="106"/>
      <c r="H19" s="106"/>
      <c r="I19" s="106"/>
      <c r="J19" s="90"/>
      <c r="K19" s="106"/>
      <c r="L19" s="106"/>
      <c r="M19" s="106"/>
      <c r="N19" s="122"/>
      <c r="O19" s="106"/>
      <c r="P19" s="106"/>
      <c r="Q19" s="106"/>
      <c r="R19" s="122"/>
      <c r="S19" s="106"/>
      <c r="T19" s="106"/>
      <c r="U19" s="106"/>
      <c r="V19" s="90"/>
      <c r="W19" s="92"/>
      <c r="X19" s="92"/>
      <c r="Y19" s="92"/>
      <c r="Z19" s="90"/>
      <c r="AA19" s="106"/>
      <c r="AB19" s="106"/>
      <c r="AC19" s="106"/>
      <c r="AD19" s="90"/>
      <c r="AE19" s="106"/>
      <c r="AF19" s="106"/>
      <c r="AG19" s="106"/>
      <c r="AH19" s="90"/>
      <c r="AI19" s="106"/>
      <c r="AJ19" s="106"/>
      <c r="AK19" s="106"/>
      <c r="AL19" s="90"/>
      <c r="AM19" s="106"/>
      <c r="AN19" s="106"/>
      <c r="AO19" s="106"/>
      <c r="AP19" s="90"/>
      <c r="AQ19" s="92"/>
      <c r="AR19" s="92"/>
      <c r="AS19" s="92"/>
      <c r="AT19" s="92"/>
    </row>
    <row r="20" spans="1:48" ht="12" thickBot="1">
      <c r="A20" s="9"/>
      <c r="B20" s="7" t="s">
        <v>0</v>
      </c>
      <c r="C20" s="107">
        <f>SUM(C14:C18)</f>
        <v>3072958.5700000003</v>
      </c>
      <c r="D20" s="107">
        <f t="shared" ref="D20:AT20" si="13">SUM(D14:D18)</f>
        <v>6657358.8700000001</v>
      </c>
      <c r="E20" s="107">
        <f t="shared" si="13"/>
        <v>6657358.8700000001</v>
      </c>
      <c r="F20" s="107">
        <f t="shared" si="13"/>
        <v>16387676.310000002</v>
      </c>
      <c r="G20" s="107">
        <f>SUM(G14:G18)</f>
        <v>367165.52</v>
      </c>
      <c r="H20" s="107">
        <f t="shared" ref="H20:V20" si="14">SUM(H14:H18)</f>
        <v>158899.63</v>
      </c>
      <c r="I20" s="107">
        <f t="shared" si="14"/>
        <v>158899.76</v>
      </c>
      <c r="J20" s="107">
        <f t="shared" si="14"/>
        <v>684964.91</v>
      </c>
      <c r="K20" s="107">
        <f t="shared" si="14"/>
        <v>244177.68</v>
      </c>
      <c r="L20" s="107">
        <f t="shared" si="14"/>
        <v>158899.63</v>
      </c>
      <c r="M20" s="107">
        <f t="shared" si="14"/>
        <v>158899.75999999998</v>
      </c>
      <c r="N20" s="111">
        <f t="shared" si="14"/>
        <v>561977.06999999995</v>
      </c>
      <c r="O20" s="107">
        <f t="shared" si="14"/>
        <v>97774.9</v>
      </c>
      <c r="P20" s="107">
        <f t="shared" si="14"/>
        <v>156039.04000000001</v>
      </c>
      <c r="Q20" s="107">
        <f t="shared" si="14"/>
        <v>156038.96</v>
      </c>
      <c r="R20" s="111">
        <f t="shared" si="14"/>
        <v>409852.89999999997</v>
      </c>
      <c r="S20" s="107">
        <f t="shared" si="14"/>
        <v>97774.9</v>
      </c>
      <c r="T20" s="107">
        <f t="shared" si="14"/>
        <v>156039.04000000001</v>
      </c>
      <c r="U20" s="107">
        <f t="shared" si="14"/>
        <v>156038.96</v>
      </c>
      <c r="V20" s="111">
        <f t="shared" si="14"/>
        <v>409852.89999999997</v>
      </c>
      <c r="W20" s="107">
        <f>SUM(W14:W18)</f>
        <v>3195946.41</v>
      </c>
      <c r="X20" s="107">
        <f>SUM(X14:X18)</f>
        <v>6657358.8700000001</v>
      </c>
      <c r="Y20" s="107">
        <f>SUM(Y14:Y18)</f>
        <v>6657358.8700000001</v>
      </c>
      <c r="Z20" s="107">
        <f t="shared" si="13"/>
        <v>16510664.150000002</v>
      </c>
      <c r="AA20" s="107">
        <f t="shared" si="13"/>
        <v>2084913.43</v>
      </c>
      <c r="AB20" s="107">
        <f t="shared" si="13"/>
        <v>5908798.4000000004</v>
      </c>
      <c r="AC20" s="107">
        <f t="shared" si="13"/>
        <v>5908798.4699999997</v>
      </c>
      <c r="AD20" s="107">
        <f t="shared" si="13"/>
        <v>13902510.300000001</v>
      </c>
      <c r="AE20" s="107">
        <f t="shared" si="13"/>
        <v>2084913.43</v>
      </c>
      <c r="AF20" s="107">
        <f t="shared" si="13"/>
        <v>5908798.4000000004</v>
      </c>
      <c r="AG20" s="107">
        <f t="shared" si="13"/>
        <v>5908798.4699999997</v>
      </c>
      <c r="AH20" s="107">
        <f t="shared" si="13"/>
        <v>13902510.300000001</v>
      </c>
      <c r="AI20" s="107">
        <f t="shared" si="13"/>
        <v>2084913.43</v>
      </c>
      <c r="AJ20" s="107">
        <f t="shared" si="13"/>
        <v>5908798.4000000004</v>
      </c>
      <c r="AK20" s="107">
        <f t="shared" si="13"/>
        <v>5908798.4699999997</v>
      </c>
      <c r="AL20" s="107">
        <f t="shared" si="13"/>
        <v>13902510.300000001</v>
      </c>
      <c r="AM20" s="107">
        <f t="shared" si="13"/>
        <v>2084912.96</v>
      </c>
      <c r="AN20" s="107">
        <f t="shared" si="13"/>
        <v>5908798.6299999999</v>
      </c>
      <c r="AO20" s="107">
        <f t="shared" si="13"/>
        <v>5908798.71</v>
      </c>
      <c r="AP20" s="107">
        <f t="shared" si="13"/>
        <v>13902510.300000001</v>
      </c>
      <c r="AQ20" s="107">
        <f>SUM(AQ14:AQ18)</f>
        <v>1111032.9800000004</v>
      </c>
      <c r="AR20" s="107">
        <f t="shared" si="13"/>
        <v>748560.46999999974</v>
      </c>
      <c r="AS20" s="107">
        <f t="shared" si="13"/>
        <v>748560.40000000014</v>
      </c>
      <c r="AT20" s="107">
        <f t="shared" si="13"/>
        <v>2608153.85</v>
      </c>
      <c r="AV20" s="70"/>
    </row>
    <row r="22" spans="1:48">
      <c r="K22" s="70"/>
      <c r="M22" s="70"/>
      <c r="N22" s="70"/>
    </row>
    <row r="23" spans="1:48" ht="12" thickBot="1"/>
    <row r="24" spans="1:48" ht="12" thickBot="1">
      <c r="A24" s="172" t="s">
        <v>14</v>
      </c>
      <c r="B24" s="173" t="s">
        <v>15</v>
      </c>
      <c r="C24" s="174" t="s">
        <v>63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6"/>
    </row>
    <row r="25" spans="1:48" ht="12" customHeight="1" thickBot="1">
      <c r="A25" s="172"/>
      <c r="B25" s="173"/>
      <c r="C25" s="177" t="s">
        <v>13</v>
      </c>
      <c r="D25" s="178"/>
      <c r="E25" s="178"/>
      <c r="F25" s="179"/>
      <c r="G25" s="177" t="s">
        <v>4</v>
      </c>
      <c r="H25" s="178"/>
      <c r="I25" s="178"/>
      <c r="J25" s="179"/>
      <c r="K25" s="177" t="s">
        <v>5</v>
      </c>
      <c r="L25" s="178"/>
      <c r="M25" s="178"/>
      <c r="N25" s="179"/>
      <c r="O25" s="177" t="s">
        <v>4</v>
      </c>
      <c r="P25" s="178"/>
      <c r="Q25" s="178"/>
      <c r="R25" s="179"/>
      <c r="S25" s="177" t="s">
        <v>5</v>
      </c>
      <c r="T25" s="178"/>
      <c r="U25" s="178"/>
      <c r="V25" s="179"/>
      <c r="W25" s="177" t="s">
        <v>19</v>
      </c>
      <c r="X25" s="178"/>
      <c r="Y25" s="178"/>
      <c r="Z25" s="179"/>
      <c r="AA25" s="177" t="s">
        <v>12</v>
      </c>
      <c r="AB25" s="178"/>
      <c r="AC25" s="178"/>
      <c r="AD25" s="179"/>
      <c r="AE25" s="177" t="s">
        <v>7</v>
      </c>
      <c r="AF25" s="178"/>
      <c r="AG25" s="178"/>
      <c r="AH25" s="179"/>
      <c r="AI25" s="177" t="s">
        <v>1</v>
      </c>
      <c r="AJ25" s="178"/>
      <c r="AK25" s="178"/>
      <c r="AL25" s="179"/>
      <c r="AM25" s="177" t="s">
        <v>11</v>
      </c>
      <c r="AN25" s="178"/>
      <c r="AO25" s="178"/>
      <c r="AP25" s="179"/>
      <c r="AQ25" s="177" t="s">
        <v>31</v>
      </c>
      <c r="AR25" s="178"/>
      <c r="AS25" s="178"/>
      <c r="AT25" s="179"/>
    </row>
    <row r="26" spans="1:48" ht="12" customHeight="1" thickBot="1">
      <c r="A26" s="172"/>
      <c r="B26" s="173"/>
      <c r="C26" s="180"/>
      <c r="D26" s="181"/>
      <c r="E26" s="181"/>
      <c r="F26" s="182"/>
      <c r="G26" s="180"/>
      <c r="H26" s="181"/>
      <c r="I26" s="181"/>
      <c r="J26" s="182"/>
      <c r="K26" s="180"/>
      <c r="L26" s="181"/>
      <c r="M26" s="181"/>
      <c r="N26" s="182"/>
      <c r="O26" s="180"/>
      <c r="P26" s="181"/>
      <c r="Q26" s="181"/>
      <c r="R26" s="182"/>
      <c r="S26" s="180"/>
      <c r="T26" s="181"/>
      <c r="U26" s="181"/>
      <c r="V26" s="182"/>
      <c r="W26" s="180"/>
      <c r="X26" s="181"/>
      <c r="Y26" s="181"/>
      <c r="Z26" s="182"/>
      <c r="AA26" s="180"/>
      <c r="AB26" s="181"/>
      <c r="AC26" s="181"/>
      <c r="AD26" s="182"/>
      <c r="AE26" s="180"/>
      <c r="AF26" s="181"/>
      <c r="AG26" s="181"/>
      <c r="AH26" s="182"/>
      <c r="AI26" s="180"/>
      <c r="AJ26" s="181"/>
      <c r="AK26" s="181"/>
      <c r="AL26" s="182"/>
      <c r="AM26" s="180"/>
      <c r="AN26" s="181"/>
      <c r="AO26" s="181"/>
      <c r="AP26" s="182"/>
      <c r="AQ26" s="180"/>
      <c r="AR26" s="181"/>
      <c r="AS26" s="181"/>
      <c r="AT26" s="182"/>
    </row>
    <row r="27" spans="1:48" ht="21" customHeight="1" thickBot="1">
      <c r="A27" s="172"/>
      <c r="B27" s="173"/>
      <c r="C27" s="8" t="s">
        <v>16</v>
      </c>
      <c r="D27" s="8" t="s">
        <v>17</v>
      </c>
      <c r="E27" s="8" t="s">
        <v>18</v>
      </c>
      <c r="F27" s="8" t="s">
        <v>0</v>
      </c>
      <c r="G27" s="8" t="s">
        <v>16</v>
      </c>
      <c r="H27" s="8" t="s">
        <v>17</v>
      </c>
      <c r="I27" s="8" t="s">
        <v>18</v>
      </c>
      <c r="J27" s="8" t="s">
        <v>0</v>
      </c>
      <c r="K27" s="8" t="s">
        <v>16</v>
      </c>
      <c r="L27" s="8" t="s">
        <v>17</v>
      </c>
      <c r="M27" s="8" t="s">
        <v>18</v>
      </c>
      <c r="N27" s="8" t="s">
        <v>0</v>
      </c>
      <c r="O27" s="8" t="s">
        <v>16</v>
      </c>
      <c r="P27" s="8" t="s">
        <v>17</v>
      </c>
      <c r="Q27" s="8" t="s">
        <v>18</v>
      </c>
      <c r="R27" s="8" t="s">
        <v>0</v>
      </c>
      <c r="S27" s="8" t="s">
        <v>16</v>
      </c>
      <c r="T27" s="8" t="s">
        <v>17</v>
      </c>
      <c r="U27" s="8" t="s">
        <v>18</v>
      </c>
      <c r="V27" s="8" t="s">
        <v>0</v>
      </c>
      <c r="W27" s="8" t="s">
        <v>16</v>
      </c>
      <c r="X27" s="8" t="s">
        <v>17</v>
      </c>
      <c r="Y27" s="8" t="s">
        <v>18</v>
      </c>
      <c r="Z27" s="8" t="s">
        <v>0</v>
      </c>
      <c r="AA27" s="8" t="s">
        <v>16</v>
      </c>
      <c r="AB27" s="8" t="s">
        <v>17</v>
      </c>
      <c r="AC27" s="8" t="s">
        <v>18</v>
      </c>
      <c r="AD27" s="8" t="s">
        <v>0</v>
      </c>
      <c r="AE27" s="8" t="s">
        <v>16</v>
      </c>
      <c r="AF27" s="8" t="s">
        <v>17</v>
      </c>
      <c r="AG27" s="8" t="s">
        <v>18</v>
      </c>
      <c r="AH27" s="8" t="s">
        <v>0</v>
      </c>
      <c r="AI27" s="8" t="s">
        <v>16</v>
      </c>
      <c r="AJ27" s="8" t="s">
        <v>17</v>
      </c>
      <c r="AK27" s="8" t="s">
        <v>18</v>
      </c>
      <c r="AL27" s="8" t="s">
        <v>0</v>
      </c>
      <c r="AM27" s="8" t="s">
        <v>16</v>
      </c>
      <c r="AN27" s="8" t="s">
        <v>17</v>
      </c>
      <c r="AO27" s="8" t="s">
        <v>18</v>
      </c>
      <c r="AP27" s="8" t="s">
        <v>0</v>
      </c>
      <c r="AQ27" s="8" t="s">
        <v>16</v>
      </c>
      <c r="AR27" s="8" t="s">
        <v>17</v>
      </c>
      <c r="AS27" s="8" t="s">
        <v>18</v>
      </c>
      <c r="AT27" s="8" t="s">
        <v>0</v>
      </c>
    </row>
    <row r="28" spans="1:48" s="96" customFormat="1" ht="26.25" customHeight="1">
      <c r="A28" s="94">
        <v>1</v>
      </c>
      <c r="B28" s="95" t="s">
        <v>42</v>
      </c>
      <c r="C28" s="92">
        <v>0</v>
      </c>
      <c r="D28" s="92">
        <v>0</v>
      </c>
      <c r="E28" s="92">
        <v>0</v>
      </c>
      <c r="F28" s="90">
        <v>0</v>
      </c>
      <c r="G28" s="92">
        <v>0</v>
      </c>
      <c r="H28" s="92">
        <v>0</v>
      </c>
      <c r="I28" s="92">
        <v>0</v>
      </c>
      <c r="J28" s="90">
        <f t="shared" ref="J28:J36" si="15">SUM(G28:I28)</f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f>D28+H28</f>
        <v>0</v>
      </c>
      <c r="Y28" s="92">
        <f t="shared" ref="Y28:Y36" si="16">(I28)</f>
        <v>0</v>
      </c>
      <c r="Z28" s="90">
        <f t="shared" ref="Z28:Z36" si="17">SUM(W28:Y28)</f>
        <v>0</v>
      </c>
      <c r="AA28" s="92">
        <v>0</v>
      </c>
      <c r="AB28" s="92">
        <v>0</v>
      </c>
      <c r="AC28" s="92">
        <v>9000</v>
      </c>
      <c r="AD28" s="90">
        <f t="shared" ref="AD28:AD36" si="18">SUM(AA28:AC28)</f>
        <v>9000</v>
      </c>
      <c r="AE28" s="92">
        <v>0</v>
      </c>
      <c r="AF28" s="92">
        <v>0</v>
      </c>
      <c r="AG28" s="92">
        <v>9000</v>
      </c>
      <c r="AH28" s="90">
        <f t="shared" ref="AH28:AH36" si="19">SUM(AE28:AG28)</f>
        <v>9000</v>
      </c>
      <c r="AI28" s="92">
        <v>0</v>
      </c>
      <c r="AJ28" s="92">
        <v>0</v>
      </c>
      <c r="AK28" s="92">
        <v>9000</v>
      </c>
      <c r="AL28" s="90">
        <f t="shared" ref="AL28:AL36" si="20">SUM(AI28:AK28)</f>
        <v>9000</v>
      </c>
      <c r="AM28" s="92">
        <v>0</v>
      </c>
      <c r="AN28" s="92">
        <v>0</v>
      </c>
      <c r="AO28" s="92">
        <v>9000</v>
      </c>
      <c r="AP28" s="90">
        <f t="shared" ref="AP28:AP36" si="21">SUM(AM28:AO28)</f>
        <v>9000</v>
      </c>
      <c r="AQ28" s="92">
        <f>W28-AM28</f>
        <v>0</v>
      </c>
      <c r="AR28" s="92">
        <f t="shared" ref="AR28:AR34" si="22">X28-AN28</f>
        <v>0</v>
      </c>
      <c r="AS28" s="92">
        <f t="shared" ref="AS28:AS34" si="23">Y28-AO28</f>
        <v>-9000</v>
      </c>
      <c r="AT28" s="92">
        <f>SUM(AQ28:AS28)</f>
        <v>-9000</v>
      </c>
    </row>
    <row r="29" spans="1:48" s="96" customFormat="1" ht="26.25" customHeight="1">
      <c r="A29" s="94">
        <v>2</v>
      </c>
      <c r="B29" s="95" t="s">
        <v>49</v>
      </c>
      <c r="C29" s="92">
        <v>0</v>
      </c>
      <c r="D29" s="92">
        <v>0</v>
      </c>
      <c r="E29" s="92">
        <v>0</v>
      </c>
      <c r="F29" s="90">
        <v>0</v>
      </c>
      <c r="G29" s="92">
        <v>0</v>
      </c>
      <c r="H29" s="92">
        <v>0</v>
      </c>
      <c r="I29" s="92">
        <v>0</v>
      </c>
      <c r="J29" s="90">
        <f t="shared" si="15"/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f t="shared" ref="X29:X36" si="24">D29+H29</f>
        <v>0</v>
      </c>
      <c r="Y29" s="92">
        <f t="shared" si="16"/>
        <v>0</v>
      </c>
      <c r="Z29" s="90">
        <f t="shared" si="17"/>
        <v>0</v>
      </c>
      <c r="AA29" s="92">
        <v>0</v>
      </c>
      <c r="AB29" s="92">
        <v>0</v>
      </c>
      <c r="AC29" s="92">
        <v>0</v>
      </c>
      <c r="AD29" s="90">
        <f t="shared" si="18"/>
        <v>0</v>
      </c>
      <c r="AE29" s="92">
        <v>0</v>
      </c>
      <c r="AF29" s="92">
        <v>0</v>
      </c>
      <c r="AG29" s="92">
        <v>0</v>
      </c>
      <c r="AH29" s="90">
        <f t="shared" si="19"/>
        <v>0</v>
      </c>
      <c r="AI29" s="92">
        <v>0</v>
      </c>
      <c r="AJ29" s="92">
        <v>0</v>
      </c>
      <c r="AK29" s="92">
        <v>0</v>
      </c>
      <c r="AL29" s="90">
        <f t="shared" si="20"/>
        <v>0</v>
      </c>
      <c r="AM29" s="92">
        <v>0</v>
      </c>
      <c r="AN29" s="92">
        <v>0</v>
      </c>
      <c r="AO29" s="92">
        <v>0</v>
      </c>
      <c r="AP29" s="90">
        <f t="shared" si="21"/>
        <v>0</v>
      </c>
      <c r="AQ29" s="92">
        <f t="shared" ref="AQ29:AQ34" si="25">W29-AM29</f>
        <v>0</v>
      </c>
      <c r="AR29" s="92">
        <f t="shared" si="22"/>
        <v>0</v>
      </c>
      <c r="AS29" s="92">
        <f t="shared" si="23"/>
        <v>0</v>
      </c>
      <c r="AT29" s="92">
        <f t="shared" ref="AT29:AT34" si="26">SUM(AQ29:AS29)</f>
        <v>0</v>
      </c>
    </row>
    <row r="30" spans="1:48" s="96" customFormat="1" ht="26.25" customHeight="1">
      <c r="A30" s="94">
        <v>3</v>
      </c>
      <c r="B30" s="95" t="s">
        <v>50</v>
      </c>
      <c r="C30" s="92">
        <v>0</v>
      </c>
      <c r="D30" s="92">
        <v>0</v>
      </c>
      <c r="E30" s="92">
        <v>0</v>
      </c>
      <c r="F30" s="90">
        <v>0</v>
      </c>
      <c r="G30" s="92">
        <v>0</v>
      </c>
      <c r="H30" s="92">
        <v>0</v>
      </c>
      <c r="I30" s="92">
        <v>0</v>
      </c>
      <c r="J30" s="90">
        <f t="shared" si="15"/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f t="shared" si="24"/>
        <v>0</v>
      </c>
      <c r="Y30" s="92">
        <f t="shared" si="16"/>
        <v>0</v>
      </c>
      <c r="Z30" s="90">
        <f t="shared" si="17"/>
        <v>0</v>
      </c>
      <c r="AA30" s="92">
        <v>0</v>
      </c>
      <c r="AB30" s="92">
        <v>0</v>
      </c>
      <c r="AC30" s="92">
        <v>39000</v>
      </c>
      <c r="AD30" s="90">
        <f t="shared" si="18"/>
        <v>39000</v>
      </c>
      <c r="AE30" s="92">
        <v>0</v>
      </c>
      <c r="AF30" s="92">
        <v>0</v>
      </c>
      <c r="AG30" s="92">
        <v>39000</v>
      </c>
      <c r="AH30" s="90">
        <f t="shared" si="19"/>
        <v>39000</v>
      </c>
      <c r="AI30" s="92">
        <v>0</v>
      </c>
      <c r="AJ30" s="92">
        <v>0</v>
      </c>
      <c r="AK30" s="92">
        <v>39000</v>
      </c>
      <c r="AL30" s="90">
        <f t="shared" si="20"/>
        <v>39000</v>
      </c>
      <c r="AM30" s="92">
        <v>0</v>
      </c>
      <c r="AN30" s="92">
        <v>0</v>
      </c>
      <c r="AO30" s="92">
        <v>39000</v>
      </c>
      <c r="AP30" s="90">
        <f t="shared" si="21"/>
        <v>39000</v>
      </c>
      <c r="AQ30" s="92">
        <f t="shared" si="25"/>
        <v>0</v>
      </c>
      <c r="AR30" s="92">
        <f t="shared" si="22"/>
        <v>0</v>
      </c>
      <c r="AS30" s="92">
        <f t="shared" si="23"/>
        <v>-39000</v>
      </c>
      <c r="AT30" s="92">
        <f t="shared" si="26"/>
        <v>-39000</v>
      </c>
    </row>
    <row r="31" spans="1:48" s="96" customFormat="1" ht="26.25" customHeight="1">
      <c r="A31" s="94">
        <v>4</v>
      </c>
      <c r="B31" s="95" t="s">
        <v>51</v>
      </c>
      <c r="C31" s="92">
        <v>0</v>
      </c>
      <c r="D31" s="92">
        <v>0</v>
      </c>
      <c r="E31" s="92">
        <v>0</v>
      </c>
      <c r="F31" s="90">
        <v>0</v>
      </c>
      <c r="G31" s="92">
        <v>0</v>
      </c>
      <c r="H31" s="92">
        <v>0</v>
      </c>
      <c r="I31" s="92">
        <v>0</v>
      </c>
      <c r="J31" s="90">
        <f t="shared" si="15"/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f t="shared" si="24"/>
        <v>0</v>
      </c>
      <c r="Y31" s="92">
        <f t="shared" si="16"/>
        <v>0</v>
      </c>
      <c r="Z31" s="90">
        <f t="shared" si="17"/>
        <v>0</v>
      </c>
      <c r="AA31" s="92">
        <v>0</v>
      </c>
      <c r="AB31" s="92">
        <v>0</v>
      </c>
      <c r="AC31" s="92">
        <v>0</v>
      </c>
      <c r="AD31" s="90">
        <f t="shared" si="18"/>
        <v>0</v>
      </c>
      <c r="AE31" s="92">
        <v>0</v>
      </c>
      <c r="AF31" s="92">
        <v>0</v>
      </c>
      <c r="AG31" s="92">
        <v>0</v>
      </c>
      <c r="AH31" s="90">
        <f t="shared" si="19"/>
        <v>0</v>
      </c>
      <c r="AI31" s="92">
        <v>0</v>
      </c>
      <c r="AJ31" s="92">
        <v>0</v>
      </c>
      <c r="AK31" s="92">
        <v>0</v>
      </c>
      <c r="AL31" s="90">
        <f t="shared" si="20"/>
        <v>0</v>
      </c>
      <c r="AM31" s="92">
        <v>0</v>
      </c>
      <c r="AN31" s="92">
        <v>0</v>
      </c>
      <c r="AO31" s="92">
        <v>0</v>
      </c>
      <c r="AP31" s="90">
        <f t="shared" si="21"/>
        <v>0</v>
      </c>
      <c r="AQ31" s="92">
        <f t="shared" si="25"/>
        <v>0</v>
      </c>
      <c r="AR31" s="92">
        <f t="shared" si="22"/>
        <v>0</v>
      </c>
      <c r="AS31" s="92">
        <f t="shared" si="23"/>
        <v>0</v>
      </c>
      <c r="AT31" s="92">
        <f t="shared" si="26"/>
        <v>0</v>
      </c>
    </row>
    <row r="32" spans="1:48" s="96" customFormat="1" ht="26.25" customHeight="1">
      <c r="A32" s="94">
        <v>5</v>
      </c>
      <c r="B32" s="95" t="s">
        <v>52</v>
      </c>
      <c r="C32" s="92">
        <v>0</v>
      </c>
      <c r="D32" s="92">
        <v>0</v>
      </c>
      <c r="E32" s="92">
        <v>0</v>
      </c>
      <c r="F32" s="90">
        <v>0</v>
      </c>
      <c r="G32" s="92">
        <v>0</v>
      </c>
      <c r="H32" s="92">
        <v>0</v>
      </c>
      <c r="I32" s="92">
        <v>0</v>
      </c>
      <c r="J32" s="90">
        <f t="shared" si="15"/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f t="shared" si="24"/>
        <v>0</v>
      </c>
      <c r="Y32" s="92">
        <f t="shared" si="16"/>
        <v>0</v>
      </c>
      <c r="Z32" s="90">
        <f t="shared" si="17"/>
        <v>0</v>
      </c>
      <c r="AA32" s="92">
        <v>0</v>
      </c>
      <c r="AB32" s="92">
        <v>0</v>
      </c>
      <c r="AC32" s="92">
        <v>0</v>
      </c>
      <c r="AD32" s="90">
        <f t="shared" si="18"/>
        <v>0</v>
      </c>
      <c r="AE32" s="92">
        <v>0</v>
      </c>
      <c r="AF32" s="92">
        <v>0</v>
      </c>
      <c r="AG32" s="92">
        <v>0</v>
      </c>
      <c r="AH32" s="90">
        <f t="shared" si="19"/>
        <v>0</v>
      </c>
      <c r="AI32" s="92">
        <v>0</v>
      </c>
      <c r="AJ32" s="92">
        <v>0</v>
      </c>
      <c r="AK32" s="92">
        <v>0</v>
      </c>
      <c r="AL32" s="90">
        <f t="shared" si="20"/>
        <v>0</v>
      </c>
      <c r="AM32" s="92">
        <v>0</v>
      </c>
      <c r="AN32" s="92">
        <v>0</v>
      </c>
      <c r="AO32" s="92">
        <v>0</v>
      </c>
      <c r="AP32" s="90">
        <f t="shared" si="21"/>
        <v>0</v>
      </c>
      <c r="AQ32" s="92">
        <f t="shared" si="25"/>
        <v>0</v>
      </c>
      <c r="AR32" s="92">
        <f t="shared" si="22"/>
        <v>0</v>
      </c>
      <c r="AS32" s="92">
        <f t="shared" si="23"/>
        <v>0</v>
      </c>
      <c r="AT32" s="92">
        <f t="shared" si="26"/>
        <v>0</v>
      </c>
    </row>
    <row r="33" spans="1:46" s="96" customFormat="1" ht="26.25" customHeight="1">
      <c r="A33" s="94">
        <v>6</v>
      </c>
      <c r="B33" s="95" t="s">
        <v>53</v>
      </c>
      <c r="C33" s="92">
        <v>0</v>
      </c>
      <c r="D33" s="92">
        <v>0</v>
      </c>
      <c r="E33" s="92">
        <v>0</v>
      </c>
      <c r="F33" s="90">
        <v>0</v>
      </c>
      <c r="G33" s="92">
        <v>0</v>
      </c>
      <c r="H33" s="92">
        <v>0</v>
      </c>
      <c r="I33" s="92">
        <v>0</v>
      </c>
      <c r="J33" s="90">
        <f t="shared" si="15"/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f t="shared" si="24"/>
        <v>0</v>
      </c>
      <c r="Y33" s="92">
        <f t="shared" si="16"/>
        <v>0</v>
      </c>
      <c r="Z33" s="90">
        <f t="shared" si="17"/>
        <v>0</v>
      </c>
      <c r="AA33" s="92">
        <v>0</v>
      </c>
      <c r="AB33" s="92">
        <v>0</v>
      </c>
      <c r="AC33" s="92">
        <v>13461.8</v>
      </c>
      <c r="AD33" s="90">
        <f t="shared" si="18"/>
        <v>13461.8</v>
      </c>
      <c r="AE33" s="92">
        <v>0</v>
      </c>
      <c r="AF33" s="92">
        <v>0</v>
      </c>
      <c r="AG33" s="92">
        <v>13461.8</v>
      </c>
      <c r="AH33" s="90">
        <f t="shared" si="19"/>
        <v>13461.8</v>
      </c>
      <c r="AI33" s="92">
        <v>0</v>
      </c>
      <c r="AJ33" s="92">
        <v>0</v>
      </c>
      <c r="AK33" s="92">
        <v>13461.8</v>
      </c>
      <c r="AL33" s="90">
        <f t="shared" si="20"/>
        <v>13461.8</v>
      </c>
      <c r="AM33" s="92">
        <v>0</v>
      </c>
      <c r="AN33" s="92">
        <v>0</v>
      </c>
      <c r="AO33" s="92">
        <v>13461.8</v>
      </c>
      <c r="AP33" s="90">
        <f t="shared" si="21"/>
        <v>13461.8</v>
      </c>
      <c r="AQ33" s="92">
        <f t="shared" si="25"/>
        <v>0</v>
      </c>
      <c r="AR33" s="92">
        <f t="shared" si="22"/>
        <v>0</v>
      </c>
      <c r="AS33" s="92">
        <f t="shared" si="23"/>
        <v>-13461.8</v>
      </c>
      <c r="AT33" s="92">
        <f t="shared" si="26"/>
        <v>-13461.8</v>
      </c>
    </row>
    <row r="34" spans="1:46" s="96" customFormat="1" ht="26.25" customHeight="1">
      <c r="A34" s="94">
        <v>7</v>
      </c>
      <c r="B34" s="95" t="s">
        <v>54</v>
      </c>
      <c r="C34" s="92">
        <v>0</v>
      </c>
      <c r="D34" s="92">
        <v>0</v>
      </c>
      <c r="E34" s="92">
        <v>0</v>
      </c>
      <c r="F34" s="90">
        <v>0</v>
      </c>
      <c r="G34" s="92">
        <v>0</v>
      </c>
      <c r="H34" s="92">
        <v>0</v>
      </c>
      <c r="I34" s="92">
        <v>0</v>
      </c>
      <c r="J34" s="90">
        <f t="shared" si="15"/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f t="shared" si="24"/>
        <v>0</v>
      </c>
      <c r="Y34" s="92">
        <f t="shared" si="16"/>
        <v>0</v>
      </c>
      <c r="Z34" s="90">
        <f t="shared" si="17"/>
        <v>0</v>
      </c>
      <c r="AA34" s="92">
        <v>0</v>
      </c>
      <c r="AB34" s="92">
        <v>0</v>
      </c>
      <c r="AC34" s="92">
        <v>7807.22</v>
      </c>
      <c r="AD34" s="90">
        <f t="shared" si="18"/>
        <v>7807.22</v>
      </c>
      <c r="AE34" s="92">
        <v>0</v>
      </c>
      <c r="AF34" s="92">
        <v>0</v>
      </c>
      <c r="AG34" s="92">
        <v>7807.22</v>
      </c>
      <c r="AH34" s="90">
        <f t="shared" si="19"/>
        <v>7807.22</v>
      </c>
      <c r="AI34" s="92">
        <v>0</v>
      </c>
      <c r="AJ34" s="92">
        <v>0</v>
      </c>
      <c r="AK34" s="92">
        <v>7807.22</v>
      </c>
      <c r="AL34" s="90">
        <f t="shared" si="20"/>
        <v>7807.22</v>
      </c>
      <c r="AM34" s="92">
        <v>0</v>
      </c>
      <c r="AN34" s="92">
        <v>0</v>
      </c>
      <c r="AO34" s="92">
        <v>7807.22</v>
      </c>
      <c r="AP34" s="90">
        <f t="shared" si="21"/>
        <v>7807.22</v>
      </c>
      <c r="AQ34" s="92">
        <f t="shared" si="25"/>
        <v>0</v>
      </c>
      <c r="AR34" s="92">
        <f t="shared" si="22"/>
        <v>0</v>
      </c>
      <c r="AS34" s="92">
        <f t="shared" si="23"/>
        <v>-7807.22</v>
      </c>
      <c r="AT34" s="92">
        <f t="shared" si="26"/>
        <v>-7807.22</v>
      </c>
    </row>
    <row r="35" spans="1:46" s="96" customFormat="1" ht="26.25" customHeight="1">
      <c r="A35" s="94">
        <v>8</v>
      </c>
      <c r="B35" s="95" t="s">
        <v>66</v>
      </c>
      <c r="C35" s="92">
        <v>0</v>
      </c>
      <c r="D35" s="92">
        <v>0</v>
      </c>
      <c r="E35" s="92">
        <v>0</v>
      </c>
      <c r="F35" s="90">
        <v>0</v>
      </c>
      <c r="G35" s="92">
        <v>0</v>
      </c>
      <c r="H35" s="92">
        <v>50774</v>
      </c>
      <c r="I35" s="92">
        <v>0</v>
      </c>
      <c r="J35" s="90">
        <f t="shared" si="15"/>
        <v>50774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f t="shared" si="24"/>
        <v>50774</v>
      </c>
      <c r="Y35" s="92">
        <f t="shared" si="16"/>
        <v>0</v>
      </c>
      <c r="Z35" s="90">
        <f t="shared" si="17"/>
        <v>50774</v>
      </c>
      <c r="AA35" s="92">
        <v>0</v>
      </c>
      <c r="AB35" s="92">
        <v>50774</v>
      </c>
      <c r="AC35" s="92">
        <v>0</v>
      </c>
      <c r="AD35" s="90">
        <f t="shared" si="18"/>
        <v>50774</v>
      </c>
      <c r="AE35" s="92">
        <v>0</v>
      </c>
      <c r="AF35" s="92">
        <v>50774</v>
      </c>
      <c r="AG35" s="92">
        <v>0</v>
      </c>
      <c r="AH35" s="90">
        <f t="shared" si="19"/>
        <v>50774</v>
      </c>
      <c r="AI35" s="92">
        <v>0</v>
      </c>
      <c r="AJ35" s="92">
        <v>50774</v>
      </c>
      <c r="AK35" s="92">
        <v>0</v>
      </c>
      <c r="AL35" s="90">
        <f t="shared" si="20"/>
        <v>50774</v>
      </c>
      <c r="AM35" s="92">
        <v>0</v>
      </c>
      <c r="AN35" s="92">
        <v>50774</v>
      </c>
      <c r="AO35" s="92">
        <v>0</v>
      </c>
      <c r="AP35" s="90">
        <f t="shared" si="21"/>
        <v>50774</v>
      </c>
      <c r="AQ35" s="92">
        <f t="shared" ref="AQ35:AQ36" si="27">W35-AM35</f>
        <v>0</v>
      </c>
      <c r="AR35" s="92">
        <f t="shared" ref="AR35:AR36" si="28">X35-AN35</f>
        <v>0</v>
      </c>
      <c r="AS35" s="92">
        <f t="shared" ref="AS35:AS36" si="29">Y35-AO35</f>
        <v>0</v>
      </c>
      <c r="AT35" s="92">
        <f t="shared" ref="AT35:AT36" si="30">SUM(AQ35:AS35)</f>
        <v>0</v>
      </c>
    </row>
    <row r="36" spans="1:46" s="96" customFormat="1" ht="26.25" customHeight="1">
      <c r="A36" s="94">
        <v>9</v>
      </c>
      <c r="B36" s="95" t="s">
        <v>67</v>
      </c>
      <c r="C36" s="92">
        <v>0</v>
      </c>
      <c r="D36" s="92">
        <v>0</v>
      </c>
      <c r="E36" s="92">
        <v>0</v>
      </c>
      <c r="F36" s="90">
        <v>0</v>
      </c>
      <c r="G36" s="92">
        <v>0</v>
      </c>
      <c r="H36" s="92">
        <v>660117.51</v>
      </c>
      <c r="I36" s="92">
        <v>0</v>
      </c>
      <c r="J36" s="90">
        <f t="shared" si="15"/>
        <v>660117.51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f t="shared" si="24"/>
        <v>660117.51</v>
      </c>
      <c r="Y36" s="92">
        <f t="shared" si="16"/>
        <v>0</v>
      </c>
      <c r="Z36" s="90">
        <f t="shared" si="17"/>
        <v>660117.51</v>
      </c>
      <c r="AA36" s="92">
        <v>0</v>
      </c>
      <c r="AB36" s="92">
        <v>180227.77</v>
      </c>
      <c r="AC36" s="92">
        <v>0</v>
      </c>
      <c r="AD36" s="90">
        <f t="shared" si="18"/>
        <v>180227.77</v>
      </c>
      <c r="AE36" s="92">
        <v>0</v>
      </c>
      <c r="AF36" s="92">
        <v>180227.77</v>
      </c>
      <c r="AG36" s="92">
        <v>0</v>
      </c>
      <c r="AH36" s="90">
        <f t="shared" si="19"/>
        <v>180227.77</v>
      </c>
      <c r="AI36" s="92">
        <v>0</v>
      </c>
      <c r="AJ36" s="92">
        <v>180227.77</v>
      </c>
      <c r="AK36" s="92">
        <v>0</v>
      </c>
      <c r="AL36" s="90">
        <f t="shared" si="20"/>
        <v>180227.77</v>
      </c>
      <c r="AM36" s="92">
        <v>0</v>
      </c>
      <c r="AN36" s="92">
        <v>180227.77</v>
      </c>
      <c r="AO36" s="92">
        <v>0</v>
      </c>
      <c r="AP36" s="90">
        <f t="shared" si="21"/>
        <v>180227.77</v>
      </c>
      <c r="AQ36" s="92">
        <f t="shared" si="27"/>
        <v>0</v>
      </c>
      <c r="AR36" s="92">
        <f t="shared" si="28"/>
        <v>479889.74</v>
      </c>
      <c r="AS36" s="92">
        <f t="shared" si="29"/>
        <v>0</v>
      </c>
      <c r="AT36" s="92">
        <f t="shared" si="30"/>
        <v>479889.74</v>
      </c>
    </row>
    <row r="37" spans="1:46" ht="6" customHeight="1" thickBot="1">
      <c r="A37" s="6"/>
      <c r="B37" s="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41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</row>
    <row r="38" spans="1:46" s="96" customFormat="1" ht="12" thickBot="1">
      <c r="A38" s="97"/>
      <c r="B38" s="98" t="s">
        <v>0</v>
      </c>
      <c r="C38" s="99">
        <f>SUM(C28:C36)</f>
        <v>0</v>
      </c>
      <c r="D38" s="99">
        <f t="shared" ref="D38:AT38" si="31">SUM(D28:D36)</f>
        <v>0</v>
      </c>
      <c r="E38" s="99">
        <f t="shared" si="31"/>
        <v>0</v>
      </c>
      <c r="F38" s="99">
        <f t="shared" si="31"/>
        <v>0</v>
      </c>
      <c r="G38" s="99">
        <f t="shared" si="31"/>
        <v>0</v>
      </c>
      <c r="H38" s="99">
        <f t="shared" si="31"/>
        <v>710891.51</v>
      </c>
      <c r="I38" s="99">
        <f t="shared" si="31"/>
        <v>0</v>
      </c>
      <c r="J38" s="99">
        <f t="shared" si="31"/>
        <v>710891.51</v>
      </c>
      <c r="K38" s="99">
        <f t="shared" si="31"/>
        <v>0</v>
      </c>
      <c r="L38" s="99">
        <f t="shared" si="31"/>
        <v>0</v>
      </c>
      <c r="M38" s="99">
        <f t="shared" si="31"/>
        <v>0</v>
      </c>
      <c r="N38" s="99">
        <f t="shared" si="31"/>
        <v>0</v>
      </c>
      <c r="O38" s="99">
        <f t="shared" si="31"/>
        <v>0</v>
      </c>
      <c r="P38" s="99">
        <f t="shared" si="31"/>
        <v>0</v>
      </c>
      <c r="Q38" s="99">
        <f t="shared" si="31"/>
        <v>0</v>
      </c>
      <c r="R38" s="99">
        <f t="shared" si="31"/>
        <v>0</v>
      </c>
      <c r="S38" s="99">
        <f t="shared" si="31"/>
        <v>0</v>
      </c>
      <c r="T38" s="99">
        <f t="shared" si="31"/>
        <v>0</v>
      </c>
      <c r="U38" s="99">
        <f t="shared" si="31"/>
        <v>0</v>
      </c>
      <c r="V38" s="99">
        <f t="shared" si="31"/>
        <v>0</v>
      </c>
      <c r="W38" s="99">
        <f t="shared" si="31"/>
        <v>0</v>
      </c>
      <c r="X38" s="99">
        <f t="shared" si="31"/>
        <v>710891.51</v>
      </c>
      <c r="Y38" s="99">
        <f t="shared" si="31"/>
        <v>0</v>
      </c>
      <c r="Z38" s="99">
        <f t="shared" si="31"/>
        <v>710891.51</v>
      </c>
      <c r="AA38" s="99">
        <f t="shared" si="31"/>
        <v>0</v>
      </c>
      <c r="AB38" s="99">
        <f t="shared" si="31"/>
        <v>231001.77</v>
      </c>
      <c r="AC38" s="99">
        <f t="shared" si="31"/>
        <v>69269.02</v>
      </c>
      <c r="AD38" s="99">
        <f t="shared" si="31"/>
        <v>300270.78999999998</v>
      </c>
      <c r="AE38" s="99">
        <f t="shared" si="31"/>
        <v>0</v>
      </c>
      <c r="AF38" s="99">
        <f t="shared" si="31"/>
        <v>231001.77</v>
      </c>
      <c r="AG38" s="99">
        <f t="shared" si="31"/>
        <v>69269.02</v>
      </c>
      <c r="AH38" s="99">
        <f t="shared" si="31"/>
        <v>300270.78999999998</v>
      </c>
      <c r="AI38" s="99">
        <f t="shared" si="31"/>
        <v>0</v>
      </c>
      <c r="AJ38" s="99">
        <f t="shared" si="31"/>
        <v>231001.77</v>
      </c>
      <c r="AK38" s="99">
        <f t="shared" si="31"/>
        <v>69269.02</v>
      </c>
      <c r="AL38" s="99">
        <f t="shared" si="31"/>
        <v>300270.78999999998</v>
      </c>
      <c r="AM38" s="99">
        <f t="shared" si="31"/>
        <v>0</v>
      </c>
      <c r="AN38" s="99">
        <f t="shared" si="31"/>
        <v>231001.77</v>
      </c>
      <c r="AO38" s="99">
        <f t="shared" si="31"/>
        <v>69269.02</v>
      </c>
      <c r="AP38" s="99">
        <f t="shared" si="31"/>
        <v>300270.78999999998</v>
      </c>
      <c r="AQ38" s="99">
        <f t="shared" si="31"/>
        <v>0</v>
      </c>
      <c r="AR38" s="99">
        <f t="shared" si="31"/>
        <v>479889.74</v>
      </c>
      <c r="AS38" s="99">
        <f t="shared" si="31"/>
        <v>-69269.02</v>
      </c>
      <c r="AT38" s="99">
        <f t="shared" si="31"/>
        <v>410620.72</v>
      </c>
    </row>
    <row r="40" spans="1:46" ht="26.25" customHeight="1"/>
    <row r="41" spans="1:46" ht="12" thickBot="1">
      <c r="AT41" s="19"/>
    </row>
    <row r="42" spans="1:46" ht="12" thickBot="1">
      <c r="A42" s="172" t="s">
        <v>14</v>
      </c>
      <c r="B42" s="173" t="s">
        <v>15</v>
      </c>
      <c r="C42" s="174" t="s">
        <v>21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6"/>
    </row>
    <row r="43" spans="1:46" ht="12.75" customHeight="1" thickBot="1">
      <c r="A43" s="172"/>
      <c r="B43" s="173"/>
      <c r="C43" s="177" t="s">
        <v>13</v>
      </c>
      <c r="D43" s="178"/>
      <c r="E43" s="178"/>
      <c r="F43" s="179"/>
      <c r="G43" s="183" t="s">
        <v>40</v>
      </c>
      <c r="H43" s="184"/>
      <c r="I43" s="184"/>
      <c r="J43" s="184"/>
      <c r="K43" s="184"/>
      <c r="L43" s="184"/>
      <c r="M43" s="184"/>
      <c r="N43" s="185"/>
      <c r="O43" s="183" t="s">
        <v>41</v>
      </c>
      <c r="P43" s="184"/>
      <c r="Q43" s="184"/>
      <c r="R43" s="184"/>
      <c r="S43" s="184"/>
      <c r="T43" s="184"/>
      <c r="U43" s="184"/>
      <c r="V43" s="185"/>
      <c r="W43" s="177" t="s">
        <v>19</v>
      </c>
      <c r="X43" s="178"/>
      <c r="Y43" s="178"/>
      <c r="Z43" s="179"/>
      <c r="AA43" s="177" t="s">
        <v>12</v>
      </c>
      <c r="AB43" s="178"/>
      <c r="AC43" s="178"/>
      <c r="AD43" s="179"/>
      <c r="AE43" s="177" t="s">
        <v>7</v>
      </c>
      <c r="AF43" s="178"/>
      <c r="AG43" s="178"/>
      <c r="AH43" s="179"/>
      <c r="AI43" s="177" t="s">
        <v>1</v>
      </c>
      <c r="AJ43" s="178"/>
      <c r="AK43" s="178"/>
      <c r="AL43" s="179"/>
      <c r="AM43" s="177" t="s">
        <v>11</v>
      </c>
      <c r="AN43" s="178"/>
      <c r="AO43" s="178"/>
      <c r="AP43" s="179"/>
      <c r="AQ43" s="177" t="s">
        <v>31</v>
      </c>
      <c r="AR43" s="178"/>
      <c r="AS43" s="178"/>
      <c r="AT43" s="179"/>
    </row>
    <row r="44" spans="1:46" ht="12.75" customHeight="1" thickBot="1">
      <c r="A44" s="172"/>
      <c r="B44" s="173"/>
      <c r="C44" s="180"/>
      <c r="D44" s="181"/>
      <c r="E44" s="181"/>
      <c r="F44" s="182"/>
      <c r="G44" s="183" t="s">
        <v>4</v>
      </c>
      <c r="H44" s="184"/>
      <c r="I44" s="184"/>
      <c r="J44" s="185"/>
      <c r="K44" s="183" t="s">
        <v>5</v>
      </c>
      <c r="L44" s="184"/>
      <c r="M44" s="184"/>
      <c r="N44" s="185"/>
      <c r="O44" s="183" t="s">
        <v>4</v>
      </c>
      <c r="P44" s="184"/>
      <c r="Q44" s="184"/>
      <c r="R44" s="185"/>
      <c r="S44" s="183" t="s">
        <v>5</v>
      </c>
      <c r="T44" s="184"/>
      <c r="U44" s="184"/>
      <c r="V44" s="185"/>
      <c r="W44" s="180"/>
      <c r="X44" s="181"/>
      <c r="Y44" s="181"/>
      <c r="Z44" s="182"/>
      <c r="AA44" s="180"/>
      <c r="AB44" s="181"/>
      <c r="AC44" s="181"/>
      <c r="AD44" s="182"/>
      <c r="AE44" s="180"/>
      <c r="AF44" s="181"/>
      <c r="AG44" s="181"/>
      <c r="AH44" s="182"/>
      <c r="AI44" s="180"/>
      <c r="AJ44" s="181"/>
      <c r="AK44" s="181"/>
      <c r="AL44" s="182"/>
      <c r="AM44" s="180"/>
      <c r="AN44" s="181"/>
      <c r="AO44" s="181"/>
      <c r="AP44" s="182"/>
      <c r="AQ44" s="180"/>
      <c r="AR44" s="181"/>
      <c r="AS44" s="181"/>
      <c r="AT44" s="182"/>
    </row>
    <row r="45" spans="1:46" ht="18" customHeight="1" thickBot="1">
      <c r="A45" s="172"/>
      <c r="B45" s="173"/>
      <c r="C45" s="8" t="s">
        <v>16</v>
      </c>
      <c r="D45" s="8" t="s">
        <v>17</v>
      </c>
      <c r="E45" s="8" t="s">
        <v>18</v>
      </c>
      <c r="F45" s="8" t="s">
        <v>0</v>
      </c>
      <c r="G45" s="8" t="s">
        <v>16</v>
      </c>
      <c r="H45" s="8" t="s">
        <v>17</v>
      </c>
      <c r="I45" s="8" t="s">
        <v>18</v>
      </c>
      <c r="J45" s="8" t="s">
        <v>0</v>
      </c>
      <c r="K45" s="8" t="s">
        <v>16</v>
      </c>
      <c r="L45" s="8" t="s">
        <v>17</v>
      </c>
      <c r="M45" s="8" t="s">
        <v>18</v>
      </c>
      <c r="N45" s="8" t="s">
        <v>0</v>
      </c>
      <c r="O45" s="8" t="s">
        <v>16</v>
      </c>
      <c r="P45" s="8" t="s">
        <v>17</v>
      </c>
      <c r="Q45" s="8" t="s">
        <v>18</v>
      </c>
      <c r="R45" s="8" t="s">
        <v>0</v>
      </c>
      <c r="S45" s="8" t="s">
        <v>16</v>
      </c>
      <c r="T45" s="8" t="s">
        <v>17</v>
      </c>
      <c r="U45" s="8" t="s">
        <v>18</v>
      </c>
      <c r="V45" s="8" t="s">
        <v>0</v>
      </c>
      <c r="W45" s="8" t="s">
        <v>16</v>
      </c>
      <c r="X45" s="8" t="s">
        <v>17</v>
      </c>
      <c r="Y45" s="8" t="s">
        <v>18</v>
      </c>
      <c r="Z45" s="8" t="s">
        <v>0</v>
      </c>
      <c r="AA45" s="8" t="s">
        <v>16</v>
      </c>
      <c r="AB45" s="8" t="s">
        <v>17</v>
      </c>
      <c r="AC45" s="8" t="s">
        <v>18</v>
      </c>
      <c r="AD45" s="8" t="s">
        <v>0</v>
      </c>
      <c r="AE45" s="8" t="s">
        <v>16</v>
      </c>
      <c r="AF45" s="8" t="s">
        <v>17</v>
      </c>
      <c r="AG45" s="8" t="s">
        <v>18</v>
      </c>
      <c r="AH45" s="8" t="s">
        <v>0</v>
      </c>
      <c r="AI45" s="8" t="s">
        <v>16</v>
      </c>
      <c r="AJ45" s="8" t="s">
        <v>17</v>
      </c>
      <c r="AK45" s="8" t="s">
        <v>18</v>
      </c>
      <c r="AL45" s="8" t="s">
        <v>0</v>
      </c>
      <c r="AM45" s="8" t="s">
        <v>16</v>
      </c>
      <c r="AN45" s="8" t="s">
        <v>17</v>
      </c>
      <c r="AO45" s="8" t="s">
        <v>18</v>
      </c>
      <c r="AP45" s="8" t="s">
        <v>0</v>
      </c>
      <c r="AQ45" s="8" t="s">
        <v>16</v>
      </c>
      <c r="AR45" s="8" t="s">
        <v>17</v>
      </c>
      <c r="AS45" s="8" t="s">
        <v>18</v>
      </c>
      <c r="AT45" s="8" t="s">
        <v>0</v>
      </c>
    </row>
    <row r="46" spans="1:46" ht="57.75" customHeight="1">
      <c r="A46" s="28">
        <v>1</v>
      </c>
      <c r="B46" s="27" t="s">
        <v>58</v>
      </c>
      <c r="C46" s="114">
        <f>C14+873</f>
        <v>98764</v>
      </c>
      <c r="D46" s="114">
        <f>D14+22768.5</f>
        <v>67740.5</v>
      </c>
      <c r="E46" s="114">
        <f>E14+22768.5</f>
        <v>67740.5</v>
      </c>
      <c r="F46" s="116">
        <f>SUM(C46:E46)</f>
        <v>234245</v>
      </c>
      <c r="G46" s="114">
        <f>G14+12375.45</f>
        <v>16975.45</v>
      </c>
      <c r="H46" s="114">
        <f>H14+8226.14</f>
        <v>25743.34</v>
      </c>
      <c r="I46" s="114">
        <f>I14+8226.14</f>
        <v>25743.34</v>
      </c>
      <c r="J46" s="116">
        <f>SUM(G46:I46)</f>
        <v>68462.13</v>
      </c>
      <c r="K46" s="114">
        <f>K14+12375.45</f>
        <v>16975.45</v>
      </c>
      <c r="L46" s="114">
        <f>L14+8226.14</f>
        <v>25743.339999999997</v>
      </c>
      <c r="M46" s="114">
        <f>M14+8226.14</f>
        <v>25743.34</v>
      </c>
      <c r="N46" s="116">
        <f>SUM(K46:M46)</f>
        <v>68462.12999999999</v>
      </c>
      <c r="O46" s="114">
        <f>O14+15167.21</f>
        <v>19967.21</v>
      </c>
      <c r="P46" s="114">
        <f>P14</f>
        <v>580.43000000000006</v>
      </c>
      <c r="Q46" s="114">
        <f>Q14</f>
        <v>580.43000000000006</v>
      </c>
      <c r="R46" s="116">
        <f>SUM(O46:Q46)</f>
        <v>21128.07</v>
      </c>
      <c r="S46" s="114">
        <f>S14+15167.21</f>
        <v>19967.21</v>
      </c>
      <c r="T46" s="114">
        <f>T14</f>
        <v>580.43000000000006</v>
      </c>
      <c r="U46" s="114">
        <f>U14</f>
        <v>580.43000000000006</v>
      </c>
      <c r="V46" s="116">
        <f>SUM(S46:U46)</f>
        <v>21128.07</v>
      </c>
      <c r="W46" s="115">
        <f>C46+G46-K46+O46-S46</f>
        <v>98764</v>
      </c>
      <c r="X46" s="115">
        <f>D46+H46-L46+P46-T46</f>
        <v>67740.5</v>
      </c>
      <c r="Y46" s="118">
        <f>E46+I46-M46+Q46-U46</f>
        <v>67740.5</v>
      </c>
      <c r="Z46" s="119">
        <f>SUM(W46:Y46)</f>
        <v>234245</v>
      </c>
      <c r="AA46" s="114">
        <f>AA14+28016.66</f>
        <v>87850.68</v>
      </c>
      <c r="AB46" s="114">
        <f>AB14+11136.25</f>
        <v>34069.79</v>
      </c>
      <c r="AC46" s="114">
        <f>AC14+11136.27</f>
        <v>34069.82</v>
      </c>
      <c r="AD46" s="116">
        <f>SUM(AA46:AC46)</f>
        <v>155990.29</v>
      </c>
      <c r="AE46" s="114">
        <f>AE14+28016.66</f>
        <v>87850.68</v>
      </c>
      <c r="AF46" s="114">
        <f>AF14+11136.25</f>
        <v>34069.79</v>
      </c>
      <c r="AG46" s="114">
        <f>AG14+11136.27</f>
        <v>34069.82</v>
      </c>
      <c r="AH46" s="116">
        <f>SUM(AE46:AG46)</f>
        <v>155990.29</v>
      </c>
      <c r="AI46" s="114">
        <f>AI14+28016.66</f>
        <v>87850.68</v>
      </c>
      <c r="AJ46" s="114">
        <f>AJ14+11136.25</f>
        <v>34069.79</v>
      </c>
      <c r="AK46" s="114">
        <f>AK14+11136.27</f>
        <v>34069.82</v>
      </c>
      <c r="AL46" s="116">
        <f>SUM(AI46:AK46)</f>
        <v>155990.29</v>
      </c>
      <c r="AM46" s="115">
        <f>AM14+28016.66</f>
        <v>87850.68</v>
      </c>
      <c r="AN46" s="115">
        <f>AN14+11136.25</f>
        <v>34069.79</v>
      </c>
      <c r="AO46" s="115">
        <f>AO14+11136.27</f>
        <v>34069.82</v>
      </c>
      <c r="AP46" s="116">
        <f>SUM(AM46:AO46)</f>
        <v>155990.29</v>
      </c>
      <c r="AQ46" s="118">
        <f t="shared" ref="AQ46:AS50" si="32">(W46-AM46)</f>
        <v>10913.320000000007</v>
      </c>
      <c r="AR46" s="118">
        <f t="shared" si="32"/>
        <v>33670.71</v>
      </c>
      <c r="AS46" s="118">
        <f t="shared" si="32"/>
        <v>33670.68</v>
      </c>
      <c r="AT46" s="119">
        <f>SUM(AQ46:AS46)</f>
        <v>78254.710000000006</v>
      </c>
    </row>
    <row r="47" spans="1:46" ht="57.75" customHeight="1">
      <c r="A47" s="28">
        <v>2</v>
      </c>
      <c r="B47" s="27" t="s">
        <v>59</v>
      </c>
      <c r="C47" s="114">
        <f>C15+1134234</f>
        <v>1437971</v>
      </c>
      <c r="D47" s="114">
        <f>D15+194915</f>
        <v>620524</v>
      </c>
      <c r="E47" s="114">
        <f>E15+194915</f>
        <v>620524</v>
      </c>
      <c r="F47" s="116">
        <f>SUM(C47:E47)</f>
        <v>2679019</v>
      </c>
      <c r="G47" s="114">
        <f>G15</f>
        <v>252849.24</v>
      </c>
      <c r="H47" s="114">
        <f>H15+59934.48</f>
        <v>102848.1</v>
      </c>
      <c r="I47" s="114">
        <f>I15+59934.49</f>
        <v>102848.19</v>
      </c>
      <c r="J47" s="116">
        <f t="shared" ref="J47:J49" si="33">SUM(G47:I47)</f>
        <v>458545.52999999997</v>
      </c>
      <c r="K47" s="114">
        <f>K15+122987.84</f>
        <v>252849.24</v>
      </c>
      <c r="L47" s="114">
        <f>L15+59934.48</f>
        <v>102848.1</v>
      </c>
      <c r="M47" s="114">
        <f>M15+59934.49</f>
        <v>102848.19</v>
      </c>
      <c r="N47" s="116">
        <f t="shared" ref="N47:N50" si="34">SUM(K47:M47)</f>
        <v>458545.52999999997</v>
      </c>
      <c r="O47" s="114">
        <f>O15+7219</f>
        <v>59572.9</v>
      </c>
      <c r="P47" s="114">
        <f>P15+20111.92</f>
        <v>77754.2</v>
      </c>
      <c r="Q47" s="114">
        <f>Q15+20111.91</f>
        <v>77754.149999999994</v>
      </c>
      <c r="R47" s="116">
        <f t="shared" ref="R47:R50" si="35">SUM(O47:Q47)</f>
        <v>215081.25</v>
      </c>
      <c r="S47" s="114">
        <f>S15+7219</f>
        <v>59572.9</v>
      </c>
      <c r="T47" s="114">
        <f>T15+20111.92</f>
        <v>77754.2</v>
      </c>
      <c r="U47" s="114">
        <f>U15+20111.91</f>
        <v>77754.149999999994</v>
      </c>
      <c r="V47" s="116">
        <f t="shared" ref="V47:V50" si="36">SUM(S47:U47)</f>
        <v>215081.25</v>
      </c>
      <c r="W47" s="118">
        <f t="shared" ref="W47:Y50" si="37">C47+G47-K47+O47-S47</f>
        <v>1437971</v>
      </c>
      <c r="X47" s="118">
        <f t="shared" si="37"/>
        <v>620524</v>
      </c>
      <c r="Y47" s="118">
        <f t="shared" si="37"/>
        <v>620524</v>
      </c>
      <c r="Z47" s="119">
        <f t="shared" ref="Z47:Z50" si="38">SUM(W47:Y47)</f>
        <v>2679019</v>
      </c>
      <c r="AA47" s="114">
        <f>AA15+246244.97</f>
        <v>820638.25</v>
      </c>
      <c r="AB47" s="114">
        <f>AB15+148271.64</f>
        <v>314375.02</v>
      </c>
      <c r="AC47" s="114">
        <f>AC15+148271.64</f>
        <v>314375.02</v>
      </c>
      <c r="AD47" s="116">
        <f>SUM(AA47:AC47)</f>
        <v>1449388.29</v>
      </c>
      <c r="AE47" s="114">
        <f>AE15+246244.97</f>
        <v>820638.25</v>
      </c>
      <c r="AF47" s="114">
        <f>AF15+148271.64</f>
        <v>314375.02</v>
      </c>
      <c r="AG47" s="114">
        <f>AG15+148271.64</f>
        <v>314375.02</v>
      </c>
      <c r="AH47" s="116">
        <f>SUM(AE47:AG47)</f>
        <v>1449388.29</v>
      </c>
      <c r="AI47" s="114">
        <f>AI15+246244.97</f>
        <v>820638.25</v>
      </c>
      <c r="AJ47" s="114">
        <f>AJ15+148271.64</f>
        <v>314375.02</v>
      </c>
      <c r="AK47" s="114">
        <f>AK15+148271.64</f>
        <v>314375.02</v>
      </c>
      <c r="AL47" s="116">
        <f>SUM(AI47:AK47)</f>
        <v>1449388.29</v>
      </c>
      <c r="AM47" s="115">
        <f>AM15+246244.97</f>
        <v>820638.25</v>
      </c>
      <c r="AN47" s="115">
        <f>AN15+148271.64</f>
        <v>314375.02</v>
      </c>
      <c r="AO47" s="115">
        <f>AO15+148271.64</f>
        <v>314375.02</v>
      </c>
      <c r="AP47" s="116">
        <f>SUM(AM47:AO47)</f>
        <v>1449388.29</v>
      </c>
      <c r="AQ47" s="118">
        <f t="shared" si="32"/>
        <v>617332.75</v>
      </c>
      <c r="AR47" s="118">
        <f t="shared" si="32"/>
        <v>306148.98</v>
      </c>
      <c r="AS47" s="118">
        <f t="shared" si="32"/>
        <v>306148.98</v>
      </c>
      <c r="AT47" s="119">
        <f>SUM(AQ47:AS47)</f>
        <v>1229630.71</v>
      </c>
    </row>
    <row r="48" spans="1:46" ht="57.75" customHeight="1">
      <c r="A48" s="28">
        <v>3</v>
      </c>
      <c r="B48" s="27" t="s">
        <v>60</v>
      </c>
      <c r="C48" s="114">
        <f>C16</f>
        <v>0</v>
      </c>
      <c r="D48" s="120">
        <f>D16</f>
        <v>13500</v>
      </c>
      <c r="E48" s="120">
        <f>E16</f>
        <v>13500</v>
      </c>
      <c r="F48" s="121">
        <f>SUM(C48:E48)</f>
        <v>27000</v>
      </c>
      <c r="G48" s="114">
        <v>0</v>
      </c>
      <c r="H48" s="114">
        <v>4870.3899999999994</v>
      </c>
      <c r="I48" s="114">
        <v>4870.3899999999994</v>
      </c>
      <c r="J48" s="116">
        <f t="shared" si="33"/>
        <v>9740.7799999999988</v>
      </c>
      <c r="K48" s="114">
        <v>0</v>
      </c>
      <c r="L48" s="114">
        <v>4870.3900000000003</v>
      </c>
      <c r="M48" s="114">
        <v>4870.3900000000003</v>
      </c>
      <c r="N48" s="116">
        <f t="shared" si="34"/>
        <v>9740.7800000000007</v>
      </c>
      <c r="O48" s="114">
        <v>0</v>
      </c>
      <c r="P48" s="114">
        <v>0</v>
      </c>
      <c r="Q48" s="114">
        <v>0</v>
      </c>
      <c r="R48" s="116">
        <f t="shared" si="35"/>
        <v>0</v>
      </c>
      <c r="S48" s="114">
        <v>0</v>
      </c>
      <c r="T48" s="114">
        <v>0</v>
      </c>
      <c r="U48" s="114">
        <v>0</v>
      </c>
      <c r="V48" s="116">
        <f t="shared" si="36"/>
        <v>0</v>
      </c>
      <c r="W48" s="118">
        <f t="shared" si="37"/>
        <v>0</v>
      </c>
      <c r="X48" s="118">
        <f t="shared" si="37"/>
        <v>13500</v>
      </c>
      <c r="Y48" s="118">
        <f t="shared" si="37"/>
        <v>13500</v>
      </c>
      <c r="Z48" s="119">
        <f t="shared" si="38"/>
        <v>27000</v>
      </c>
      <c r="AA48" s="114">
        <v>0</v>
      </c>
      <c r="AB48" s="114">
        <v>4870.3900000000003</v>
      </c>
      <c r="AC48" s="114">
        <v>4870.3900000000003</v>
      </c>
      <c r="AD48" s="116">
        <f>SUM(AA48:AC48)</f>
        <v>9740.7800000000007</v>
      </c>
      <c r="AE48" s="114">
        <v>0</v>
      </c>
      <c r="AF48" s="114">
        <v>4870.3900000000003</v>
      </c>
      <c r="AG48" s="114">
        <v>4870.3900000000003</v>
      </c>
      <c r="AH48" s="116">
        <f>SUM(AE48:AG48)</f>
        <v>9740.7800000000007</v>
      </c>
      <c r="AI48" s="114">
        <v>0</v>
      </c>
      <c r="AJ48" s="114">
        <v>4870.3900000000003</v>
      </c>
      <c r="AK48" s="114">
        <v>4870.3900000000003</v>
      </c>
      <c r="AL48" s="116">
        <f>SUM(AI48:AK48)</f>
        <v>9740.7800000000007</v>
      </c>
      <c r="AM48" s="115">
        <v>0</v>
      </c>
      <c r="AN48" s="115">
        <v>4870.3900000000003</v>
      </c>
      <c r="AO48" s="115">
        <v>4870.3900000000003</v>
      </c>
      <c r="AP48" s="116">
        <f>SUM(AM48:AO48)</f>
        <v>9740.7800000000007</v>
      </c>
      <c r="AQ48" s="118">
        <f t="shared" si="32"/>
        <v>0</v>
      </c>
      <c r="AR48" s="118">
        <f t="shared" si="32"/>
        <v>8629.61</v>
      </c>
      <c r="AS48" s="118">
        <f t="shared" si="32"/>
        <v>8629.61</v>
      </c>
      <c r="AT48" s="119">
        <f>SUM(AQ48:AS48)</f>
        <v>17259.22</v>
      </c>
    </row>
    <row r="49" spans="1:53" ht="57.75" customHeight="1">
      <c r="A49" s="28">
        <v>4</v>
      </c>
      <c r="B49" s="27" t="s">
        <v>61</v>
      </c>
      <c r="C49" s="114">
        <f>C17</f>
        <v>0</v>
      </c>
      <c r="D49" s="114">
        <f>D17+12499</f>
        <v>127499</v>
      </c>
      <c r="E49" s="114">
        <f>E17+12499</f>
        <v>127499</v>
      </c>
      <c r="F49" s="116">
        <f>SUM(C49:E49)</f>
        <v>254998</v>
      </c>
      <c r="G49" s="114">
        <v>0</v>
      </c>
      <c r="H49" s="114">
        <f>H17+314</f>
        <v>4061.5</v>
      </c>
      <c r="I49" s="114">
        <f>I17+314</f>
        <v>4061.5</v>
      </c>
      <c r="J49" s="116">
        <f t="shared" si="33"/>
        <v>8123</v>
      </c>
      <c r="K49" s="114">
        <v>0</v>
      </c>
      <c r="L49" s="114">
        <f>L17+314</f>
        <v>4061.5</v>
      </c>
      <c r="M49" s="114">
        <f>M17+314</f>
        <v>4061.5</v>
      </c>
      <c r="N49" s="116">
        <f t="shared" si="34"/>
        <v>8123</v>
      </c>
      <c r="O49" s="114">
        <v>0</v>
      </c>
      <c r="P49" s="114">
        <v>0</v>
      </c>
      <c r="Q49" s="114">
        <v>0</v>
      </c>
      <c r="R49" s="116">
        <f t="shared" si="35"/>
        <v>0</v>
      </c>
      <c r="S49" s="114">
        <v>0</v>
      </c>
      <c r="T49" s="114">
        <v>0</v>
      </c>
      <c r="U49" s="114">
        <v>0</v>
      </c>
      <c r="V49" s="116">
        <f t="shared" si="36"/>
        <v>0</v>
      </c>
      <c r="W49" s="118">
        <f t="shared" si="37"/>
        <v>0</v>
      </c>
      <c r="X49" s="118">
        <f t="shared" si="37"/>
        <v>127499</v>
      </c>
      <c r="Y49" s="118">
        <f t="shared" si="37"/>
        <v>127499</v>
      </c>
      <c r="Z49" s="119">
        <f t="shared" si="38"/>
        <v>254998</v>
      </c>
      <c r="AA49" s="114">
        <v>0</v>
      </c>
      <c r="AB49" s="114">
        <f>AB17+314</f>
        <v>4061.5</v>
      </c>
      <c r="AC49" s="114">
        <f>AC17+314</f>
        <v>4061.5</v>
      </c>
      <c r="AD49" s="116">
        <f>SUM(AA49:AC49)</f>
        <v>8123</v>
      </c>
      <c r="AE49" s="114">
        <v>0</v>
      </c>
      <c r="AF49" s="114">
        <f>AF17+314</f>
        <v>4061.5</v>
      </c>
      <c r="AG49" s="114">
        <f>AG17+314</f>
        <v>4061.5</v>
      </c>
      <c r="AH49" s="116">
        <f>SUM(AE49:AG49)</f>
        <v>8123</v>
      </c>
      <c r="AI49" s="114">
        <v>0</v>
      </c>
      <c r="AJ49" s="114">
        <f>AJ17+314</f>
        <v>4061.5</v>
      </c>
      <c r="AK49" s="114">
        <f>AK17+314</f>
        <v>4061.5</v>
      </c>
      <c r="AL49" s="116">
        <f>SUM(AI49:AK49)</f>
        <v>8123</v>
      </c>
      <c r="AM49" s="115">
        <v>0</v>
      </c>
      <c r="AN49" s="115">
        <f>AN17+314</f>
        <v>4061.5</v>
      </c>
      <c r="AO49" s="115">
        <f>AO17+314</f>
        <v>4061.5</v>
      </c>
      <c r="AP49" s="116">
        <f>SUM(AM49:AO49)</f>
        <v>8123</v>
      </c>
      <c r="AQ49" s="118">
        <f t="shared" si="32"/>
        <v>0</v>
      </c>
      <c r="AR49" s="118">
        <f t="shared" si="32"/>
        <v>123437.5</v>
      </c>
      <c r="AS49" s="118">
        <f t="shared" si="32"/>
        <v>123437.5</v>
      </c>
      <c r="AT49" s="119">
        <f>SUM(AQ49:AS49)</f>
        <v>246875</v>
      </c>
    </row>
    <row r="50" spans="1:53" ht="57.75" customHeight="1">
      <c r="A50" s="28">
        <v>5</v>
      </c>
      <c r="B50" s="27" t="s">
        <v>62</v>
      </c>
      <c r="C50" s="114">
        <f>C18+1653089</f>
        <v>4324419.57</v>
      </c>
      <c r="D50" s="114">
        <f>D18+5691375</f>
        <v>11749652.870000001</v>
      </c>
      <c r="E50" s="114">
        <f>E18+5691375</f>
        <v>11749652.870000001</v>
      </c>
      <c r="F50" s="116">
        <f>SUM(C50:E50)</f>
        <v>27823725.310000002</v>
      </c>
      <c r="G50" s="114">
        <f>G18+27691.52</f>
        <v>137407.79999999999</v>
      </c>
      <c r="H50" s="114">
        <f>H18+100679.49</f>
        <v>195400.8</v>
      </c>
      <c r="I50" s="114">
        <f>I18+100679.52</f>
        <v>195400.88</v>
      </c>
      <c r="J50" s="116">
        <f>SUM(G50:I50)</f>
        <v>528209.48</v>
      </c>
      <c r="K50" s="114">
        <f>K18+27691.52</f>
        <v>137407.79999999999</v>
      </c>
      <c r="L50" s="114">
        <f>L18+100679.49</f>
        <v>195400.8</v>
      </c>
      <c r="M50" s="114">
        <f>M18+100679.52</f>
        <v>195400.88</v>
      </c>
      <c r="N50" s="116">
        <f t="shared" si="34"/>
        <v>528209.48</v>
      </c>
      <c r="O50" s="114">
        <f>O18+308496.86</f>
        <v>349117.86</v>
      </c>
      <c r="P50" s="114">
        <f>P18+507847.52</f>
        <v>605663.85</v>
      </c>
      <c r="Q50" s="114">
        <f>Q18+507847.51</f>
        <v>605663.80000000005</v>
      </c>
      <c r="R50" s="116">
        <f t="shared" si="35"/>
        <v>1560445.51</v>
      </c>
      <c r="S50" s="114">
        <f>S18+308496.86</f>
        <v>349117.86</v>
      </c>
      <c r="T50" s="114">
        <f>T18+507847.52</f>
        <v>605663.85</v>
      </c>
      <c r="U50" s="114">
        <f>U18+507847.51</f>
        <v>605663.80000000005</v>
      </c>
      <c r="V50" s="116">
        <f t="shared" si="36"/>
        <v>1560445.51</v>
      </c>
      <c r="W50" s="118">
        <f t="shared" si="37"/>
        <v>4324419.57</v>
      </c>
      <c r="X50" s="118">
        <f t="shared" si="37"/>
        <v>11749652.870000001</v>
      </c>
      <c r="Y50" s="118">
        <f t="shared" si="37"/>
        <v>11749652.870000001</v>
      </c>
      <c r="Z50" s="119">
        <f t="shared" si="38"/>
        <v>27823725.310000002</v>
      </c>
      <c r="AA50" s="114">
        <f>AA18+1296528.11</f>
        <v>2747214.24</v>
      </c>
      <c r="AB50" s="114">
        <f>AB18+5729867.66</f>
        <v>11445881.640000001</v>
      </c>
      <c r="AC50" s="114">
        <f>AC18+5729867.68</f>
        <v>11445881.719999999</v>
      </c>
      <c r="AD50" s="116">
        <f>SUM(AA50:AC50)</f>
        <v>25638977.600000001</v>
      </c>
      <c r="AE50" s="114">
        <f>AE18+1296528.11</f>
        <v>2747214.24</v>
      </c>
      <c r="AF50" s="114">
        <f>AF18+5729867.66</f>
        <v>11445881.640000001</v>
      </c>
      <c r="AG50" s="114">
        <f>AG18+5729867.68</f>
        <v>11445881.719999999</v>
      </c>
      <c r="AH50" s="116">
        <f>SUM(AE50:AG50)</f>
        <v>25638977.600000001</v>
      </c>
      <c r="AI50" s="114">
        <f>AI18+1296528.11</f>
        <v>2747214.24</v>
      </c>
      <c r="AJ50" s="114">
        <f>AJ18+5729867.66</f>
        <v>11445881.640000001</v>
      </c>
      <c r="AK50" s="114">
        <f>AK18+5729867.68</f>
        <v>11445881.719999999</v>
      </c>
      <c r="AL50" s="116">
        <f>SUM(AI50:AK50)</f>
        <v>25638977.600000001</v>
      </c>
      <c r="AM50" s="115">
        <f>AM18+1296528.58</f>
        <v>2747214.24</v>
      </c>
      <c r="AN50" s="115">
        <f>AN18+5729867.43</f>
        <v>11445881.640000001</v>
      </c>
      <c r="AO50" s="115">
        <f>AO18+5729867.44</f>
        <v>11445881.720000001</v>
      </c>
      <c r="AP50" s="116">
        <f>SUM(AM50:AO50)</f>
        <v>25638977.600000001</v>
      </c>
      <c r="AQ50" s="118">
        <f t="shared" si="32"/>
        <v>1577205.33</v>
      </c>
      <c r="AR50" s="118">
        <f t="shared" si="32"/>
        <v>303771.23000000045</v>
      </c>
      <c r="AS50" s="118">
        <f t="shared" si="32"/>
        <v>303771.15000000037</v>
      </c>
      <c r="AT50" s="119">
        <f>SUM(AQ50:AS50)</f>
        <v>2184747.7100000009</v>
      </c>
    </row>
    <row r="51" spans="1:53" ht="6" customHeight="1" thickBot="1">
      <c r="A51" s="6"/>
      <c r="B51" s="4"/>
      <c r="C51" s="21"/>
      <c r="D51" s="21"/>
      <c r="E51" s="21"/>
      <c r="F51" s="20"/>
      <c r="G51" s="21"/>
      <c r="H51" s="21"/>
      <c r="I51" s="21"/>
      <c r="J51" s="20"/>
      <c r="K51" s="21"/>
      <c r="L51" s="21"/>
      <c r="M51" s="21"/>
      <c r="N51" s="20"/>
      <c r="O51" s="21"/>
      <c r="P51" s="21"/>
      <c r="Q51" s="21"/>
      <c r="R51" s="20"/>
      <c r="S51" s="21"/>
      <c r="T51" s="21"/>
      <c r="U51" s="21"/>
      <c r="V51" s="20"/>
      <c r="W51" s="22"/>
      <c r="X51" s="22"/>
      <c r="Y51" s="22"/>
      <c r="Z51" s="20"/>
      <c r="AA51" s="21"/>
      <c r="AB51" s="21"/>
      <c r="AC51" s="42"/>
      <c r="AD51" s="20"/>
      <c r="AE51" s="21"/>
      <c r="AF51" s="21"/>
      <c r="AG51" s="21"/>
      <c r="AH51" s="20"/>
      <c r="AI51" s="21"/>
      <c r="AJ51" s="21"/>
      <c r="AK51" s="21"/>
      <c r="AL51" s="20"/>
      <c r="AM51" s="21"/>
      <c r="AN51" s="21"/>
      <c r="AO51" s="21"/>
      <c r="AP51" s="20"/>
      <c r="AQ51" s="22"/>
      <c r="AR51" s="22"/>
      <c r="AS51" s="22"/>
      <c r="AT51" s="22"/>
    </row>
    <row r="52" spans="1:53" ht="12" thickBot="1">
      <c r="A52" s="9"/>
      <c r="B52" s="7" t="s">
        <v>0</v>
      </c>
      <c r="C52" s="23">
        <f>SUM(C46:C50)</f>
        <v>5861154.5700000003</v>
      </c>
      <c r="D52" s="23">
        <f t="shared" ref="D52:AT52" si="39">SUM(D46:D50)</f>
        <v>12578916.370000001</v>
      </c>
      <c r="E52" s="23">
        <f t="shared" si="39"/>
        <v>12578916.370000001</v>
      </c>
      <c r="F52" s="23">
        <f t="shared" si="39"/>
        <v>31018987.310000002</v>
      </c>
      <c r="G52" s="23">
        <f t="shared" si="39"/>
        <v>407232.49</v>
      </c>
      <c r="H52" s="23">
        <f t="shared" si="39"/>
        <v>332924.13</v>
      </c>
      <c r="I52" s="23">
        <f t="shared" si="39"/>
        <v>332924.3</v>
      </c>
      <c r="J52" s="23">
        <f t="shared" si="39"/>
        <v>1073080.92</v>
      </c>
      <c r="K52" s="23">
        <f t="shared" si="39"/>
        <v>407232.49</v>
      </c>
      <c r="L52" s="23">
        <f t="shared" si="39"/>
        <v>332924.13</v>
      </c>
      <c r="M52" s="23">
        <f t="shared" si="39"/>
        <v>332924.30000000005</v>
      </c>
      <c r="N52" s="23">
        <f t="shared" si="39"/>
        <v>1073080.92</v>
      </c>
      <c r="O52" s="23">
        <f t="shared" si="39"/>
        <v>428657.97</v>
      </c>
      <c r="P52" s="23">
        <f t="shared" si="39"/>
        <v>683998.48</v>
      </c>
      <c r="Q52" s="23">
        <f t="shared" si="39"/>
        <v>683998.38</v>
      </c>
      <c r="R52" s="23">
        <f t="shared" si="39"/>
        <v>1796654.83</v>
      </c>
      <c r="S52" s="23">
        <f t="shared" si="39"/>
        <v>428657.97</v>
      </c>
      <c r="T52" s="23">
        <f t="shared" si="39"/>
        <v>683998.48</v>
      </c>
      <c r="U52" s="23">
        <f t="shared" si="39"/>
        <v>683998.38</v>
      </c>
      <c r="V52" s="23">
        <f t="shared" si="39"/>
        <v>1796654.83</v>
      </c>
      <c r="W52" s="23">
        <f t="shared" si="39"/>
        <v>5861154.5700000003</v>
      </c>
      <c r="X52" s="23">
        <f t="shared" si="39"/>
        <v>12578916.370000001</v>
      </c>
      <c r="Y52" s="23">
        <f t="shared" si="39"/>
        <v>12578916.370000001</v>
      </c>
      <c r="Z52" s="23">
        <f t="shared" si="39"/>
        <v>31018987.310000002</v>
      </c>
      <c r="AA52" s="23">
        <f t="shared" si="39"/>
        <v>3655703.17</v>
      </c>
      <c r="AB52" s="23">
        <f t="shared" si="39"/>
        <v>11803258.34</v>
      </c>
      <c r="AC52" s="23">
        <f t="shared" si="39"/>
        <v>11803258.449999999</v>
      </c>
      <c r="AD52" s="23">
        <f t="shared" si="39"/>
        <v>27262219.960000001</v>
      </c>
      <c r="AE52" s="23">
        <f t="shared" si="39"/>
        <v>3655703.17</v>
      </c>
      <c r="AF52" s="23">
        <f t="shared" si="39"/>
        <v>11803258.34</v>
      </c>
      <c r="AG52" s="23">
        <f t="shared" si="39"/>
        <v>11803258.449999999</v>
      </c>
      <c r="AH52" s="23">
        <f t="shared" si="39"/>
        <v>27262219.960000001</v>
      </c>
      <c r="AI52" s="23">
        <f t="shared" si="39"/>
        <v>3655703.17</v>
      </c>
      <c r="AJ52" s="23">
        <f t="shared" si="39"/>
        <v>11803258.34</v>
      </c>
      <c r="AK52" s="23">
        <f t="shared" si="39"/>
        <v>11803258.449999999</v>
      </c>
      <c r="AL52" s="23">
        <f t="shared" si="39"/>
        <v>27262219.960000001</v>
      </c>
      <c r="AM52" s="23">
        <f t="shared" si="39"/>
        <v>3655703.17</v>
      </c>
      <c r="AN52" s="23">
        <f t="shared" si="39"/>
        <v>11803258.34</v>
      </c>
      <c r="AO52" s="23">
        <f t="shared" si="39"/>
        <v>11803258.450000001</v>
      </c>
      <c r="AP52" s="23">
        <f t="shared" si="39"/>
        <v>27262219.960000001</v>
      </c>
      <c r="AQ52" s="23">
        <f t="shared" si="39"/>
        <v>2205451.4000000004</v>
      </c>
      <c r="AR52" s="23">
        <f t="shared" si="39"/>
        <v>775658.03000000049</v>
      </c>
      <c r="AS52" s="23">
        <f t="shared" si="39"/>
        <v>775657.92000000039</v>
      </c>
      <c r="AT52" s="23">
        <f t="shared" si="39"/>
        <v>3756767.3500000006</v>
      </c>
    </row>
    <row r="53" spans="1:53">
      <c r="A53" s="46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93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</row>
    <row r="54" spans="1:53">
      <c r="A54" s="46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93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</row>
    <row r="55" spans="1:53">
      <c r="F55" s="70"/>
      <c r="G55" s="70"/>
      <c r="AL55" s="44"/>
    </row>
    <row r="56" spans="1:53" s="31" customFormat="1" ht="12" thickBot="1">
      <c r="A56" s="187"/>
      <c r="B56" s="187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59"/>
      <c r="P56" s="59"/>
      <c r="Q56" s="59"/>
      <c r="R56" s="59"/>
      <c r="S56" s="59"/>
      <c r="T56" s="59"/>
      <c r="U56" s="59"/>
      <c r="V56" s="59"/>
      <c r="W56" s="32"/>
      <c r="X56" s="32"/>
      <c r="Y56" s="32"/>
      <c r="Z56" s="32"/>
      <c r="AA56" s="32"/>
      <c r="AB56" s="32"/>
      <c r="AC56" s="38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</row>
    <row r="57" spans="1:53" ht="12" thickBot="1">
      <c r="A57" s="172" t="s">
        <v>14</v>
      </c>
      <c r="B57" s="173" t="s">
        <v>15</v>
      </c>
      <c r="C57" s="174" t="s">
        <v>21</v>
      </c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6"/>
    </row>
    <row r="58" spans="1:53" ht="12.75" customHeight="1" thickBot="1">
      <c r="A58" s="172"/>
      <c r="B58" s="173"/>
      <c r="C58" s="177" t="s">
        <v>13</v>
      </c>
      <c r="D58" s="178"/>
      <c r="E58" s="178"/>
      <c r="F58" s="179"/>
      <c r="G58" s="183" t="s">
        <v>40</v>
      </c>
      <c r="H58" s="184"/>
      <c r="I58" s="184"/>
      <c r="J58" s="184"/>
      <c r="K58" s="184" t="s">
        <v>5</v>
      </c>
      <c r="L58" s="184"/>
      <c r="M58" s="184"/>
      <c r="N58" s="185"/>
      <c r="O58" s="183" t="s">
        <v>41</v>
      </c>
      <c r="P58" s="184"/>
      <c r="Q58" s="184"/>
      <c r="R58" s="184"/>
      <c r="S58" s="184" t="s">
        <v>5</v>
      </c>
      <c r="T58" s="184"/>
      <c r="U58" s="184"/>
      <c r="V58" s="185"/>
      <c r="W58" s="177" t="s">
        <v>19</v>
      </c>
      <c r="X58" s="178"/>
      <c r="Y58" s="178"/>
      <c r="Z58" s="179"/>
      <c r="AA58" s="177" t="s">
        <v>12</v>
      </c>
      <c r="AB58" s="178"/>
      <c r="AC58" s="178"/>
      <c r="AD58" s="179"/>
      <c r="AE58" s="177" t="s">
        <v>7</v>
      </c>
      <c r="AF58" s="178"/>
      <c r="AG58" s="178"/>
      <c r="AH58" s="179"/>
      <c r="AI58" s="177" t="s">
        <v>1</v>
      </c>
      <c r="AJ58" s="178"/>
      <c r="AK58" s="178"/>
      <c r="AL58" s="179"/>
      <c r="AM58" s="177" t="s">
        <v>11</v>
      </c>
      <c r="AN58" s="178"/>
      <c r="AO58" s="178"/>
      <c r="AP58" s="179"/>
      <c r="AQ58" s="177" t="s">
        <v>31</v>
      </c>
      <c r="AR58" s="178"/>
      <c r="AS58" s="178"/>
      <c r="AT58" s="179"/>
    </row>
    <row r="59" spans="1:53" ht="12.75" customHeight="1" thickBot="1">
      <c r="A59" s="172"/>
      <c r="B59" s="173"/>
      <c r="C59" s="180"/>
      <c r="D59" s="181"/>
      <c r="E59" s="181"/>
      <c r="F59" s="182"/>
      <c r="G59" s="183" t="s">
        <v>4</v>
      </c>
      <c r="H59" s="184"/>
      <c r="I59" s="184"/>
      <c r="J59" s="185"/>
      <c r="K59" s="183" t="s">
        <v>5</v>
      </c>
      <c r="L59" s="184"/>
      <c r="M59" s="184"/>
      <c r="N59" s="185"/>
      <c r="O59" s="183" t="s">
        <v>4</v>
      </c>
      <c r="P59" s="184"/>
      <c r="Q59" s="184"/>
      <c r="R59" s="185"/>
      <c r="S59" s="183" t="s">
        <v>5</v>
      </c>
      <c r="T59" s="184"/>
      <c r="U59" s="184"/>
      <c r="V59" s="185"/>
      <c r="W59" s="180"/>
      <c r="X59" s="181"/>
      <c r="Y59" s="181"/>
      <c r="Z59" s="182"/>
      <c r="AA59" s="180"/>
      <c r="AB59" s="181"/>
      <c r="AC59" s="181"/>
      <c r="AD59" s="182"/>
      <c r="AE59" s="180"/>
      <c r="AF59" s="181"/>
      <c r="AG59" s="181"/>
      <c r="AH59" s="182"/>
      <c r="AI59" s="180"/>
      <c r="AJ59" s="181"/>
      <c r="AK59" s="181"/>
      <c r="AL59" s="182"/>
      <c r="AM59" s="180"/>
      <c r="AN59" s="181"/>
      <c r="AO59" s="181"/>
      <c r="AP59" s="182"/>
      <c r="AQ59" s="180"/>
      <c r="AR59" s="181"/>
      <c r="AS59" s="181"/>
      <c r="AT59" s="182"/>
    </row>
    <row r="60" spans="1:53" ht="18" customHeight="1" thickBot="1">
      <c r="A60" s="172"/>
      <c r="B60" s="173"/>
      <c r="C60" s="8" t="s">
        <v>16</v>
      </c>
      <c r="D60" s="8" t="s">
        <v>17</v>
      </c>
      <c r="E60" s="8" t="s">
        <v>18</v>
      </c>
      <c r="F60" s="8" t="s">
        <v>0</v>
      </c>
      <c r="G60" s="8" t="s">
        <v>16</v>
      </c>
      <c r="H60" s="8" t="s">
        <v>17</v>
      </c>
      <c r="I60" s="8" t="s">
        <v>18</v>
      </c>
      <c r="J60" s="8" t="s">
        <v>0</v>
      </c>
      <c r="K60" s="8" t="s">
        <v>16</v>
      </c>
      <c r="L60" s="8" t="s">
        <v>17</v>
      </c>
      <c r="M60" s="8" t="s">
        <v>18</v>
      </c>
      <c r="N60" s="8" t="s">
        <v>0</v>
      </c>
      <c r="O60" s="8" t="s">
        <v>16</v>
      </c>
      <c r="P60" s="8" t="s">
        <v>17</v>
      </c>
      <c r="Q60" s="8" t="s">
        <v>18</v>
      </c>
      <c r="R60" s="8" t="s">
        <v>0</v>
      </c>
      <c r="S60" s="8" t="s">
        <v>16</v>
      </c>
      <c r="T60" s="8" t="s">
        <v>17</v>
      </c>
      <c r="U60" s="8" t="s">
        <v>18</v>
      </c>
      <c r="V60" s="8" t="s">
        <v>0</v>
      </c>
      <c r="W60" s="8" t="s">
        <v>16</v>
      </c>
      <c r="X60" s="8" t="s">
        <v>17</v>
      </c>
      <c r="Y60" s="8" t="s">
        <v>18</v>
      </c>
      <c r="Z60" s="8" t="s">
        <v>0</v>
      </c>
      <c r="AA60" s="8" t="s">
        <v>16</v>
      </c>
      <c r="AB60" s="8" t="s">
        <v>17</v>
      </c>
      <c r="AC60" s="8" t="s">
        <v>18</v>
      </c>
      <c r="AD60" s="8" t="s">
        <v>0</v>
      </c>
      <c r="AE60" s="8" t="s">
        <v>16</v>
      </c>
      <c r="AF60" s="8" t="s">
        <v>17</v>
      </c>
      <c r="AG60" s="8" t="s">
        <v>18</v>
      </c>
      <c r="AH60" s="8" t="s">
        <v>0</v>
      </c>
      <c r="AI60" s="8" t="s">
        <v>16</v>
      </c>
      <c r="AJ60" s="8" t="s">
        <v>17</v>
      </c>
      <c r="AK60" s="8" t="s">
        <v>18</v>
      </c>
      <c r="AL60" s="8" t="s">
        <v>0</v>
      </c>
      <c r="AM60" s="8" t="s">
        <v>16</v>
      </c>
      <c r="AN60" s="8" t="s">
        <v>17</v>
      </c>
      <c r="AO60" s="8" t="s">
        <v>18</v>
      </c>
      <c r="AP60" s="8" t="s">
        <v>0</v>
      </c>
      <c r="AQ60" s="8" t="s">
        <v>16</v>
      </c>
      <c r="AR60" s="8" t="s">
        <v>17</v>
      </c>
      <c r="AS60" s="8" t="s">
        <v>18</v>
      </c>
      <c r="AT60" s="8" t="s">
        <v>0</v>
      </c>
    </row>
    <row r="61" spans="1:53" s="96" customFormat="1" ht="26.25" customHeight="1">
      <c r="A61" s="94">
        <v>1</v>
      </c>
      <c r="B61" s="95" t="s">
        <v>42</v>
      </c>
      <c r="C61" s="115">
        <v>0</v>
      </c>
      <c r="D61" s="115">
        <v>0</v>
      </c>
      <c r="E61" s="115">
        <v>0</v>
      </c>
      <c r="F61" s="116">
        <v>0</v>
      </c>
      <c r="G61" s="115">
        <v>0</v>
      </c>
      <c r="H61" s="115">
        <v>0</v>
      </c>
      <c r="I61" s="115">
        <v>36000</v>
      </c>
      <c r="J61" s="116">
        <f t="shared" ref="J61:J67" si="40">SUM(G61:I61)</f>
        <v>36000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0</v>
      </c>
      <c r="R61" s="115">
        <v>0</v>
      </c>
      <c r="S61" s="115">
        <v>0</v>
      </c>
      <c r="T61" s="115">
        <v>0</v>
      </c>
      <c r="U61" s="115">
        <v>0</v>
      </c>
      <c r="V61" s="115">
        <v>0</v>
      </c>
      <c r="W61" s="115">
        <v>0</v>
      </c>
      <c r="X61" s="115">
        <v>0</v>
      </c>
      <c r="Y61" s="115">
        <f t="shared" ref="Y61:Y67" si="41">(I61)</f>
        <v>36000</v>
      </c>
      <c r="Z61" s="116">
        <f t="shared" ref="Z61:Z67" si="42">SUM(W61:Y61)</f>
        <v>36000</v>
      </c>
      <c r="AA61" s="115">
        <v>0</v>
      </c>
      <c r="AB61" s="115">
        <v>0</v>
      </c>
      <c r="AC61" s="115">
        <f>AC28+27000</f>
        <v>36000</v>
      </c>
      <c r="AD61" s="116">
        <f t="shared" ref="AD61:AD67" si="43">SUM(AA61:AC61)</f>
        <v>36000</v>
      </c>
      <c r="AE61" s="115">
        <v>0</v>
      </c>
      <c r="AF61" s="115">
        <v>0</v>
      </c>
      <c r="AG61" s="115">
        <f>AG28+27000</f>
        <v>36000</v>
      </c>
      <c r="AH61" s="116">
        <f t="shared" ref="AH61:AH67" si="44">SUM(AE61:AG61)</f>
        <v>36000</v>
      </c>
      <c r="AI61" s="115">
        <v>0</v>
      </c>
      <c r="AJ61" s="115">
        <v>0</v>
      </c>
      <c r="AK61" s="115">
        <f>AK28+27000</f>
        <v>36000</v>
      </c>
      <c r="AL61" s="116">
        <f t="shared" ref="AL61:AL67" si="45">SUM(AI61:AK61)</f>
        <v>36000</v>
      </c>
      <c r="AM61" s="115">
        <v>0</v>
      </c>
      <c r="AN61" s="115">
        <v>0</v>
      </c>
      <c r="AO61" s="115">
        <f>AO28+27000</f>
        <v>36000</v>
      </c>
      <c r="AP61" s="116">
        <f t="shared" ref="AP61:AP67" si="46">SUM(AM61:AO61)</f>
        <v>36000</v>
      </c>
      <c r="AQ61" s="115">
        <f>W61-AM61</f>
        <v>0</v>
      </c>
      <c r="AR61" s="115">
        <f t="shared" ref="AR61:AS67" si="47">X61-AN61</f>
        <v>0</v>
      </c>
      <c r="AS61" s="115">
        <f t="shared" si="47"/>
        <v>0</v>
      </c>
      <c r="AT61" s="115">
        <f>SUM(AQ61:AS61)</f>
        <v>0</v>
      </c>
    </row>
    <row r="62" spans="1:53" s="96" customFormat="1" ht="26.25" customHeight="1">
      <c r="A62" s="94">
        <v>2</v>
      </c>
      <c r="B62" s="95" t="s">
        <v>49</v>
      </c>
      <c r="C62" s="115">
        <v>0</v>
      </c>
      <c r="D62" s="115">
        <v>0</v>
      </c>
      <c r="E62" s="115">
        <v>0</v>
      </c>
      <c r="F62" s="116">
        <v>0</v>
      </c>
      <c r="G62" s="115">
        <v>0</v>
      </c>
      <c r="H62" s="115">
        <v>0</v>
      </c>
      <c r="I62" s="115">
        <v>0.78</v>
      </c>
      <c r="J62" s="116">
        <f t="shared" si="40"/>
        <v>0.78</v>
      </c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5">
        <v>0</v>
      </c>
      <c r="Q62" s="115">
        <v>0</v>
      </c>
      <c r="R62" s="115">
        <v>0</v>
      </c>
      <c r="S62" s="115">
        <v>0</v>
      </c>
      <c r="T62" s="115">
        <v>0</v>
      </c>
      <c r="U62" s="115">
        <v>0</v>
      </c>
      <c r="V62" s="115">
        <v>0</v>
      </c>
      <c r="W62" s="115">
        <v>0</v>
      </c>
      <c r="X62" s="115">
        <v>0</v>
      </c>
      <c r="Y62" s="115">
        <f t="shared" si="41"/>
        <v>0.78</v>
      </c>
      <c r="Z62" s="116">
        <f t="shared" si="42"/>
        <v>0.78</v>
      </c>
      <c r="AA62" s="115">
        <v>0</v>
      </c>
      <c r="AB62" s="115">
        <v>0</v>
      </c>
      <c r="AC62" s="115">
        <v>0</v>
      </c>
      <c r="AD62" s="116">
        <f t="shared" si="43"/>
        <v>0</v>
      </c>
      <c r="AE62" s="115">
        <v>0</v>
      </c>
      <c r="AF62" s="115">
        <v>0</v>
      </c>
      <c r="AG62" s="115">
        <v>0</v>
      </c>
      <c r="AH62" s="116">
        <f t="shared" si="44"/>
        <v>0</v>
      </c>
      <c r="AI62" s="115">
        <v>0</v>
      </c>
      <c r="AJ62" s="115">
        <v>0</v>
      </c>
      <c r="AK62" s="115">
        <v>0</v>
      </c>
      <c r="AL62" s="116">
        <f t="shared" si="45"/>
        <v>0</v>
      </c>
      <c r="AM62" s="115">
        <v>0</v>
      </c>
      <c r="AN62" s="115">
        <v>0</v>
      </c>
      <c r="AO62" s="115">
        <v>0</v>
      </c>
      <c r="AP62" s="116">
        <f t="shared" si="46"/>
        <v>0</v>
      </c>
      <c r="AQ62" s="115">
        <f t="shared" ref="AQ62:AQ67" si="48">W62-AM62</f>
        <v>0</v>
      </c>
      <c r="AR62" s="115">
        <f t="shared" si="47"/>
        <v>0</v>
      </c>
      <c r="AS62" s="115">
        <f t="shared" si="47"/>
        <v>0.78</v>
      </c>
      <c r="AT62" s="115">
        <f t="shared" ref="AT62:AT67" si="49">SUM(AQ62:AS62)</f>
        <v>0.78</v>
      </c>
    </row>
    <row r="63" spans="1:53" s="96" customFormat="1" ht="26.25" customHeight="1">
      <c r="A63" s="94">
        <v>3</v>
      </c>
      <c r="B63" s="95" t="s">
        <v>50</v>
      </c>
      <c r="C63" s="115">
        <v>0</v>
      </c>
      <c r="D63" s="115">
        <v>0</v>
      </c>
      <c r="E63" s="115">
        <v>0</v>
      </c>
      <c r="F63" s="116">
        <v>0</v>
      </c>
      <c r="G63" s="115">
        <v>0</v>
      </c>
      <c r="H63" s="115">
        <v>0</v>
      </c>
      <c r="I63" s="115">
        <v>120000</v>
      </c>
      <c r="J63" s="116">
        <f t="shared" si="40"/>
        <v>120000</v>
      </c>
      <c r="K63" s="115">
        <v>0</v>
      </c>
      <c r="L63" s="115">
        <v>0</v>
      </c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15">
        <v>0</v>
      </c>
      <c r="S63" s="115">
        <v>0</v>
      </c>
      <c r="T63" s="115">
        <v>0</v>
      </c>
      <c r="U63" s="115">
        <v>0</v>
      </c>
      <c r="V63" s="115">
        <v>0</v>
      </c>
      <c r="W63" s="115">
        <v>0</v>
      </c>
      <c r="X63" s="115">
        <v>0</v>
      </c>
      <c r="Y63" s="115">
        <f t="shared" si="41"/>
        <v>120000</v>
      </c>
      <c r="Z63" s="116">
        <f t="shared" si="42"/>
        <v>120000</v>
      </c>
      <c r="AA63" s="115">
        <v>0</v>
      </c>
      <c r="AB63" s="115">
        <v>0</v>
      </c>
      <c r="AC63" s="115">
        <f>AC30+63000</f>
        <v>102000</v>
      </c>
      <c r="AD63" s="116">
        <f t="shared" si="43"/>
        <v>102000</v>
      </c>
      <c r="AE63" s="115">
        <v>0</v>
      </c>
      <c r="AF63" s="115">
        <v>0</v>
      </c>
      <c r="AG63" s="115">
        <f>AG30+63000</f>
        <v>102000</v>
      </c>
      <c r="AH63" s="116">
        <f t="shared" si="44"/>
        <v>102000</v>
      </c>
      <c r="AI63" s="115">
        <v>0</v>
      </c>
      <c r="AJ63" s="115">
        <v>0</v>
      </c>
      <c r="AK63" s="115">
        <f>AK30+63000</f>
        <v>102000</v>
      </c>
      <c r="AL63" s="116">
        <f t="shared" si="45"/>
        <v>102000</v>
      </c>
      <c r="AM63" s="115">
        <v>0</v>
      </c>
      <c r="AN63" s="115">
        <v>0</v>
      </c>
      <c r="AO63" s="115">
        <f>AO30+63000</f>
        <v>102000</v>
      </c>
      <c r="AP63" s="116">
        <f t="shared" si="46"/>
        <v>102000</v>
      </c>
      <c r="AQ63" s="115">
        <f t="shared" si="48"/>
        <v>0</v>
      </c>
      <c r="AR63" s="115">
        <f t="shared" si="47"/>
        <v>0</v>
      </c>
      <c r="AS63" s="115">
        <f t="shared" si="47"/>
        <v>18000</v>
      </c>
      <c r="AT63" s="115">
        <f t="shared" si="49"/>
        <v>18000</v>
      </c>
    </row>
    <row r="64" spans="1:53" s="96" customFormat="1" ht="26.25" customHeight="1">
      <c r="A64" s="94">
        <v>4</v>
      </c>
      <c r="B64" s="95" t="s">
        <v>51</v>
      </c>
      <c r="C64" s="115">
        <v>0</v>
      </c>
      <c r="D64" s="115">
        <v>0</v>
      </c>
      <c r="E64" s="115">
        <v>0</v>
      </c>
      <c r="F64" s="116">
        <v>0</v>
      </c>
      <c r="G64" s="115">
        <v>0</v>
      </c>
      <c r="H64" s="115">
        <v>0</v>
      </c>
      <c r="I64" s="117">
        <v>70159.75</v>
      </c>
      <c r="J64" s="116">
        <f t="shared" si="40"/>
        <v>70159.75</v>
      </c>
      <c r="K64" s="115">
        <v>0</v>
      </c>
      <c r="L64" s="115">
        <v>0</v>
      </c>
      <c r="M64" s="115">
        <v>0</v>
      </c>
      <c r="N64" s="115">
        <v>0</v>
      </c>
      <c r="O64" s="115">
        <v>0</v>
      </c>
      <c r="P64" s="115">
        <v>0</v>
      </c>
      <c r="Q64" s="115">
        <v>0</v>
      </c>
      <c r="R64" s="115">
        <v>0</v>
      </c>
      <c r="S64" s="115">
        <v>0</v>
      </c>
      <c r="T64" s="115">
        <v>0</v>
      </c>
      <c r="U64" s="115">
        <v>0</v>
      </c>
      <c r="V64" s="115">
        <v>0</v>
      </c>
      <c r="W64" s="115">
        <v>0</v>
      </c>
      <c r="X64" s="115">
        <v>0</v>
      </c>
      <c r="Y64" s="115">
        <f t="shared" si="41"/>
        <v>70159.75</v>
      </c>
      <c r="Z64" s="116">
        <f t="shared" si="42"/>
        <v>70159.75</v>
      </c>
      <c r="AA64" s="115">
        <v>0</v>
      </c>
      <c r="AB64" s="115">
        <v>0</v>
      </c>
      <c r="AC64" s="115">
        <v>0</v>
      </c>
      <c r="AD64" s="116">
        <f t="shared" si="43"/>
        <v>0</v>
      </c>
      <c r="AE64" s="115">
        <v>0</v>
      </c>
      <c r="AF64" s="115">
        <v>0</v>
      </c>
      <c r="AG64" s="115">
        <v>0</v>
      </c>
      <c r="AH64" s="116">
        <f t="shared" si="44"/>
        <v>0</v>
      </c>
      <c r="AI64" s="115">
        <v>0</v>
      </c>
      <c r="AJ64" s="115">
        <v>0</v>
      </c>
      <c r="AK64" s="115">
        <v>0</v>
      </c>
      <c r="AL64" s="116">
        <f t="shared" si="45"/>
        <v>0</v>
      </c>
      <c r="AM64" s="115">
        <v>0</v>
      </c>
      <c r="AN64" s="115">
        <v>0</v>
      </c>
      <c r="AO64" s="115">
        <v>0</v>
      </c>
      <c r="AP64" s="116">
        <f t="shared" si="46"/>
        <v>0</v>
      </c>
      <c r="AQ64" s="115">
        <f t="shared" si="48"/>
        <v>0</v>
      </c>
      <c r="AR64" s="115">
        <f t="shared" si="47"/>
        <v>0</v>
      </c>
      <c r="AS64" s="115">
        <f t="shared" si="47"/>
        <v>70159.75</v>
      </c>
      <c r="AT64" s="115">
        <f t="shared" si="49"/>
        <v>70159.75</v>
      </c>
    </row>
    <row r="65" spans="1:47" s="96" customFormat="1" ht="26.25" customHeight="1">
      <c r="A65" s="94">
        <v>5</v>
      </c>
      <c r="B65" s="95" t="s">
        <v>52</v>
      </c>
      <c r="C65" s="115">
        <v>0</v>
      </c>
      <c r="D65" s="115">
        <v>0</v>
      </c>
      <c r="E65" s="115">
        <v>0</v>
      </c>
      <c r="F65" s="116">
        <v>0</v>
      </c>
      <c r="G65" s="115">
        <v>0</v>
      </c>
      <c r="H65" s="115">
        <v>0</v>
      </c>
      <c r="I65" s="115">
        <v>118021.99</v>
      </c>
      <c r="J65" s="116">
        <f t="shared" si="40"/>
        <v>118021.99</v>
      </c>
      <c r="K65" s="115">
        <v>0</v>
      </c>
      <c r="L65" s="115">
        <v>0</v>
      </c>
      <c r="M65" s="115">
        <v>0</v>
      </c>
      <c r="N65" s="115">
        <v>0</v>
      </c>
      <c r="O65" s="115">
        <v>0</v>
      </c>
      <c r="P65" s="115">
        <v>0</v>
      </c>
      <c r="Q65" s="115">
        <v>0</v>
      </c>
      <c r="R65" s="115">
        <v>0</v>
      </c>
      <c r="S65" s="115">
        <v>0</v>
      </c>
      <c r="T65" s="115">
        <v>0</v>
      </c>
      <c r="U65" s="115">
        <v>0</v>
      </c>
      <c r="V65" s="115">
        <v>0</v>
      </c>
      <c r="W65" s="115">
        <v>0</v>
      </c>
      <c r="X65" s="115">
        <v>0</v>
      </c>
      <c r="Y65" s="115">
        <f t="shared" si="41"/>
        <v>118021.99</v>
      </c>
      <c r="Z65" s="116">
        <f t="shared" si="42"/>
        <v>118021.99</v>
      </c>
      <c r="AA65" s="115">
        <v>0</v>
      </c>
      <c r="AB65" s="115">
        <v>0</v>
      </c>
      <c r="AC65" s="115">
        <v>0</v>
      </c>
      <c r="AD65" s="116">
        <f t="shared" si="43"/>
        <v>0</v>
      </c>
      <c r="AE65" s="115">
        <v>0</v>
      </c>
      <c r="AF65" s="115">
        <v>0</v>
      </c>
      <c r="AG65" s="115">
        <v>0</v>
      </c>
      <c r="AH65" s="116">
        <f t="shared" si="44"/>
        <v>0</v>
      </c>
      <c r="AI65" s="115">
        <v>0</v>
      </c>
      <c r="AJ65" s="115">
        <v>0</v>
      </c>
      <c r="AK65" s="115">
        <v>0</v>
      </c>
      <c r="AL65" s="116">
        <f t="shared" si="45"/>
        <v>0</v>
      </c>
      <c r="AM65" s="115">
        <v>0</v>
      </c>
      <c r="AN65" s="115">
        <v>0</v>
      </c>
      <c r="AO65" s="115">
        <v>0</v>
      </c>
      <c r="AP65" s="116">
        <f t="shared" si="46"/>
        <v>0</v>
      </c>
      <c r="AQ65" s="115">
        <f t="shared" si="48"/>
        <v>0</v>
      </c>
      <c r="AR65" s="115">
        <f t="shared" si="47"/>
        <v>0</v>
      </c>
      <c r="AS65" s="115">
        <f t="shared" si="47"/>
        <v>118021.99</v>
      </c>
      <c r="AT65" s="115">
        <f t="shared" si="49"/>
        <v>118021.99</v>
      </c>
    </row>
    <row r="66" spans="1:47" s="96" customFormat="1" ht="26.25" customHeight="1">
      <c r="A66" s="94">
        <v>6</v>
      </c>
      <c r="B66" s="95" t="s">
        <v>53</v>
      </c>
      <c r="C66" s="115">
        <v>0</v>
      </c>
      <c r="D66" s="115">
        <v>0</v>
      </c>
      <c r="E66" s="115">
        <v>0</v>
      </c>
      <c r="F66" s="116">
        <v>0</v>
      </c>
      <c r="G66" s="115">
        <v>0</v>
      </c>
      <c r="H66" s="115">
        <v>0</v>
      </c>
      <c r="I66" s="115">
        <v>61500</v>
      </c>
      <c r="J66" s="116">
        <f t="shared" si="40"/>
        <v>61500</v>
      </c>
      <c r="K66" s="115">
        <v>0</v>
      </c>
      <c r="L66" s="115">
        <v>0</v>
      </c>
      <c r="M66" s="115">
        <v>0</v>
      </c>
      <c r="N66" s="115">
        <v>0</v>
      </c>
      <c r="O66" s="115">
        <v>0</v>
      </c>
      <c r="P66" s="115">
        <v>0</v>
      </c>
      <c r="Q66" s="115">
        <v>0</v>
      </c>
      <c r="R66" s="115">
        <v>0</v>
      </c>
      <c r="S66" s="115">
        <v>0</v>
      </c>
      <c r="T66" s="115">
        <v>0</v>
      </c>
      <c r="U66" s="115">
        <v>0</v>
      </c>
      <c r="V66" s="115">
        <v>0</v>
      </c>
      <c r="W66" s="115">
        <v>0</v>
      </c>
      <c r="X66" s="115">
        <v>0</v>
      </c>
      <c r="Y66" s="115">
        <f t="shared" si="41"/>
        <v>61500</v>
      </c>
      <c r="Z66" s="116">
        <f t="shared" si="42"/>
        <v>61500</v>
      </c>
      <c r="AA66" s="115">
        <v>0</v>
      </c>
      <c r="AB66" s="115">
        <v>0</v>
      </c>
      <c r="AC66" s="115">
        <f>AC33</f>
        <v>13461.8</v>
      </c>
      <c r="AD66" s="116">
        <f t="shared" si="43"/>
        <v>13461.8</v>
      </c>
      <c r="AE66" s="115">
        <v>0</v>
      </c>
      <c r="AF66" s="115">
        <v>0</v>
      </c>
      <c r="AG66" s="115">
        <f>AG33</f>
        <v>13461.8</v>
      </c>
      <c r="AH66" s="116">
        <f t="shared" si="44"/>
        <v>13461.8</v>
      </c>
      <c r="AI66" s="115">
        <v>0</v>
      </c>
      <c r="AJ66" s="115">
        <v>0</v>
      </c>
      <c r="AK66" s="115">
        <f>AK33</f>
        <v>13461.8</v>
      </c>
      <c r="AL66" s="116">
        <f t="shared" si="45"/>
        <v>13461.8</v>
      </c>
      <c r="AM66" s="115">
        <v>0</v>
      </c>
      <c r="AN66" s="115">
        <v>0</v>
      </c>
      <c r="AO66" s="115">
        <f>AO33</f>
        <v>13461.8</v>
      </c>
      <c r="AP66" s="116">
        <f t="shared" si="46"/>
        <v>13461.8</v>
      </c>
      <c r="AQ66" s="115">
        <f t="shared" si="48"/>
        <v>0</v>
      </c>
      <c r="AR66" s="115">
        <f t="shared" si="47"/>
        <v>0</v>
      </c>
      <c r="AS66" s="115">
        <f t="shared" si="47"/>
        <v>48038.2</v>
      </c>
      <c r="AT66" s="115">
        <f t="shared" si="49"/>
        <v>48038.2</v>
      </c>
    </row>
    <row r="67" spans="1:47" s="96" customFormat="1" ht="26.25" customHeight="1">
      <c r="A67" s="94">
        <v>7</v>
      </c>
      <c r="B67" s="95" t="s">
        <v>54</v>
      </c>
      <c r="C67" s="115">
        <v>0</v>
      </c>
      <c r="D67" s="115">
        <v>0</v>
      </c>
      <c r="E67" s="115">
        <v>0</v>
      </c>
      <c r="F67" s="116">
        <v>0</v>
      </c>
      <c r="G67" s="115">
        <v>0</v>
      </c>
      <c r="H67" s="115">
        <v>0</v>
      </c>
      <c r="I67" s="115">
        <v>634400</v>
      </c>
      <c r="J67" s="116">
        <f t="shared" si="40"/>
        <v>634400</v>
      </c>
      <c r="K67" s="115">
        <v>0</v>
      </c>
      <c r="L67" s="115">
        <v>0</v>
      </c>
      <c r="M67" s="115">
        <v>0</v>
      </c>
      <c r="N67" s="115">
        <v>0</v>
      </c>
      <c r="O67" s="115">
        <v>0</v>
      </c>
      <c r="P67" s="115">
        <v>0</v>
      </c>
      <c r="Q67" s="115">
        <v>0</v>
      </c>
      <c r="R67" s="115">
        <v>0</v>
      </c>
      <c r="S67" s="115">
        <v>0</v>
      </c>
      <c r="T67" s="115">
        <v>0</v>
      </c>
      <c r="U67" s="115">
        <v>0</v>
      </c>
      <c r="V67" s="115">
        <v>0</v>
      </c>
      <c r="W67" s="115">
        <v>0</v>
      </c>
      <c r="X67" s="115">
        <v>0</v>
      </c>
      <c r="Y67" s="115">
        <f t="shared" si="41"/>
        <v>634400</v>
      </c>
      <c r="Z67" s="116">
        <f t="shared" si="42"/>
        <v>634400</v>
      </c>
      <c r="AA67" s="115">
        <v>0</v>
      </c>
      <c r="AB67" s="115">
        <v>0</v>
      </c>
      <c r="AC67" s="115">
        <f>AC34+626592.73</f>
        <v>634399.94999999995</v>
      </c>
      <c r="AD67" s="116">
        <f t="shared" si="43"/>
        <v>634399.94999999995</v>
      </c>
      <c r="AE67" s="115">
        <v>0</v>
      </c>
      <c r="AF67" s="115">
        <v>0</v>
      </c>
      <c r="AG67" s="115">
        <f>AG34+626592.73</f>
        <v>634399.94999999995</v>
      </c>
      <c r="AH67" s="116">
        <f t="shared" si="44"/>
        <v>634399.94999999995</v>
      </c>
      <c r="AI67" s="115">
        <v>0</v>
      </c>
      <c r="AJ67" s="115">
        <v>0</v>
      </c>
      <c r="AK67" s="115">
        <f>AK34+626592.73</f>
        <v>634399.94999999995</v>
      </c>
      <c r="AL67" s="116">
        <f t="shared" si="45"/>
        <v>634399.94999999995</v>
      </c>
      <c r="AM67" s="115">
        <v>0</v>
      </c>
      <c r="AN67" s="115">
        <v>0</v>
      </c>
      <c r="AO67" s="115">
        <f>AO34+626592.73</f>
        <v>634399.94999999995</v>
      </c>
      <c r="AP67" s="116">
        <f t="shared" si="46"/>
        <v>634399.94999999995</v>
      </c>
      <c r="AQ67" s="115">
        <f t="shared" si="48"/>
        <v>0</v>
      </c>
      <c r="AR67" s="115">
        <f t="shared" si="47"/>
        <v>0</v>
      </c>
      <c r="AS67" s="115">
        <f t="shared" si="47"/>
        <v>5.0000000046566129E-2</v>
      </c>
      <c r="AT67" s="115">
        <f t="shared" si="49"/>
        <v>5.0000000046566129E-2</v>
      </c>
    </row>
    <row r="68" spans="1:47" ht="26.25" customHeight="1">
      <c r="A68" s="94">
        <v>8</v>
      </c>
      <c r="B68" s="95" t="s">
        <v>66</v>
      </c>
      <c r="C68" s="91">
        <f>C35+'[1]UCEEP-09-01'!$C$28</f>
        <v>0</v>
      </c>
      <c r="D68" s="91">
        <f>D35+'[1]UCEEP-09-01'!$C$28</f>
        <v>0</v>
      </c>
      <c r="E68" s="91">
        <f>E35+'[1]UCEEP-09-01'!$C$28</f>
        <v>0</v>
      </c>
      <c r="F68" s="91">
        <f>F35+'[1]UCEEP-09-01'!$C$28</f>
        <v>0</v>
      </c>
      <c r="G68" s="91">
        <f>G35+'[1]UCEEP-09-01'!$C$28</f>
        <v>0</v>
      </c>
      <c r="H68" s="91">
        <f>H35+'[1]UCEEP-09-01'!$C$28</f>
        <v>50774</v>
      </c>
      <c r="I68" s="91">
        <f>I35+'[1]UCEEP-09-01'!$C$28</f>
        <v>0</v>
      </c>
      <c r="J68" s="91">
        <f>J35+'[1]UCEEP-09-01'!$C$28</f>
        <v>50774</v>
      </c>
      <c r="K68" s="91">
        <f>K35+'[1]UCEEP-09-01'!$C$28</f>
        <v>0</v>
      </c>
      <c r="L68" s="91">
        <f>L35+'[1]UCEEP-09-01'!$C$28</f>
        <v>0</v>
      </c>
      <c r="M68" s="91">
        <f>M35+'[1]UCEEP-09-01'!$C$28</f>
        <v>0</v>
      </c>
      <c r="N68" s="91">
        <f>N35+'[1]UCEEP-09-01'!$C$28</f>
        <v>0</v>
      </c>
      <c r="O68" s="91">
        <f>O35+'[1]UCEEP-09-01'!$C$28</f>
        <v>0</v>
      </c>
      <c r="P68" s="91">
        <f>P35+'[1]UCEEP-09-01'!$C$28</f>
        <v>0</v>
      </c>
      <c r="Q68" s="91">
        <f>Q35+'[1]UCEEP-09-01'!$C$28</f>
        <v>0</v>
      </c>
      <c r="R68" s="91">
        <f>R35+'[1]UCEEP-09-01'!$C$28</f>
        <v>0</v>
      </c>
      <c r="S68" s="91">
        <f>S35+'[1]UCEEP-09-01'!$C$28</f>
        <v>0</v>
      </c>
      <c r="T68" s="91">
        <f>T35+'[1]UCEEP-09-01'!$C$28</f>
        <v>0</v>
      </c>
      <c r="U68" s="91">
        <f>U35+'[1]UCEEP-09-01'!$C$28</f>
        <v>0</v>
      </c>
      <c r="V68" s="91">
        <f>V35+'[1]UCEEP-09-01'!$C$28</f>
        <v>0</v>
      </c>
      <c r="W68" s="91">
        <f>W35+'[1]UCEEP-09-01'!$C$28</f>
        <v>0</v>
      </c>
      <c r="X68" s="91">
        <f>X35+'[1]UCEEP-09-01'!$C$28</f>
        <v>50774</v>
      </c>
      <c r="Y68" s="91">
        <f>Y35+'[1]UCEEP-09-01'!$C$28</f>
        <v>0</v>
      </c>
      <c r="Z68" s="91">
        <f>Z35+'[1]UCEEP-09-01'!$C$28</f>
        <v>50774</v>
      </c>
      <c r="AA68" s="91">
        <f>AA35+'[1]UCEEP-09-01'!$C$28</f>
        <v>0</v>
      </c>
      <c r="AB68" s="91">
        <f>AB35+'[1]UCEEP-09-01'!$C$28</f>
        <v>50774</v>
      </c>
      <c r="AC68" s="91">
        <f>AC35+'[1]UCEEP-09-01'!$C$28</f>
        <v>0</v>
      </c>
      <c r="AD68" s="91">
        <f>AD35+'[1]UCEEP-09-01'!$C$28</f>
        <v>50774</v>
      </c>
      <c r="AE68" s="91">
        <f>AE35+'[1]UCEEP-09-01'!$C$28</f>
        <v>0</v>
      </c>
      <c r="AF68" s="91">
        <f>AF35+'[1]UCEEP-09-01'!$C$28</f>
        <v>50774</v>
      </c>
      <c r="AG68" s="91">
        <f>AG35+'[1]UCEEP-09-01'!$C$28</f>
        <v>0</v>
      </c>
      <c r="AH68" s="91">
        <f>AH35+'[1]UCEEP-09-01'!$C$28</f>
        <v>50774</v>
      </c>
      <c r="AI68" s="91">
        <f>AI35+'[1]UCEEP-09-01'!$C$28</f>
        <v>0</v>
      </c>
      <c r="AJ68" s="91">
        <f>AJ35+'[1]UCEEP-09-01'!$C$28</f>
        <v>50774</v>
      </c>
      <c r="AK68" s="91">
        <f>AK35+'[1]UCEEP-09-01'!$C$28</f>
        <v>0</v>
      </c>
      <c r="AL68" s="91">
        <f>AL35+'[1]UCEEP-09-01'!$C$28</f>
        <v>50774</v>
      </c>
      <c r="AM68" s="91">
        <f>AM35+'[1]UCEEP-09-01'!$C$28</f>
        <v>0</v>
      </c>
      <c r="AN68" s="91">
        <f>AN35+'[1]UCEEP-09-01'!$C$28</f>
        <v>50774</v>
      </c>
      <c r="AO68" s="91">
        <f>AO35+'[1]UCEEP-09-01'!$C$28</f>
        <v>0</v>
      </c>
      <c r="AP68" s="91">
        <f>AP35+'[1]UCEEP-09-01'!$C$28</f>
        <v>50774</v>
      </c>
      <c r="AQ68" s="91">
        <f>AQ35+'[1]UCEEP-09-01'!$C$28</f>
        <v>0</v>
      </c>
      <c r="AR68" s="91">
        <f>AR35+'[1]UCEEP-09-01'!$C$28</f>
        <v>0</v>
      </c>
      <c r="AS68" s="91">
        <f>AS35+'[1]UCEEP-09-01'!$C$28</f>
        <v>0</v>
      </c>
      <c r="AT68" s="91">
        <f>AT35+'[1]UCEEP-09-01'!$C$28</f>
        <v>0</v>
      </c>
    </row>
    <row r="69" spans="1:47" ht="26.25" customHeight="1">
      <c r="A69" s="94">
        <v>9</v>
      </c>
      <c r="B69" s="95" t="s">
        <v>67</v>
      </c>
      <c r="C69" s="91">
        <f>C36+'[1]UCEEP-09-01'!$C$28</f>
        <v>0</v>
      </c>
      <c r="D69" s="91">
        <f>D36+'[1]UCEEP-09-01'!$C$28</f>
        <v>0</v>
      </c>
      <c r="E69" s="91">
        <f>E36+'[1]UCEEP-09-01'!$C$28</f>
        <v>0</v>
      </c>
      <c r="F69" s="91">
        <f>F36+'[1]UCEEP-09-01'!$C$28</f>
        <v>0</v>
      </c>
      <c r="G69" s="91">
        <f>G36+'[1]UCEEP-09-01'!$C$28</f>
        <v>0</v>
      </c>
      <c r="H69" s="91">
        <f>H36+'[1]UCEEP-09-01'!$C$28</f>
        <v>660117.51</v>
      </c>
      <c r="I69" s="91">
        <f>I36+'[1]UCEEP-09-01'!$C$28</f>
        <v>0</v>
      </c>
      <c r="J69" s="91">
        <f>J36+'[1]UCEEP-09-01'!$C$28</f>
        <v>660117.51</v>
      </c>
      <c r="K69" s="91">
        <f>K36+'[1]UCEEP-09-01'!$C$28</f>
        <v>0</v>
      </c>
      <c r="L69" s="91">
        <f>L36+'[1]UCEEP-09-01'!$C$28</f>
        <v>0</v>
      </c>
      <c r="M69" s="91">
        <f>M36+'[1]UCEEP-09-01'!$C$28</f>
        <v>0</v>
      </c>
      <c r="N69" s="91">
        <f>N36+'[1]UCEEP-09-01'!$C$28</f>
        <v>0</v>
      </c>
      <c r="O69" s="91">
        <f>O36+'[1]UCEEP-09-01'!$C$28</f>
        <v>0</v>
      </c>
      <c r="P69" s="91">
        <f>P36+'[1]UCEEP-09-01'!$C$28</f>
        <v>0</v>
      </c>
      <c r="Q69" s="91">
        <f>Q36+'[1]UCEEP-09-01'!$C$28</f>
        <v>0</v>
      </c>
      <c r="R69" s="91">
        <f>R36+'[1]UCEEP-09-01'!$C$28</f>
        <v>0</v>
      </c>
      <c r="S69" s="91">
        <f>S36+'[1]UCEEP-09-01'!$C$28</f>
        <v>0</v>
      </c>
      <c r="T69" s="91">
        <f>T36+'[1]UCEEP-09-01'!$C$28</f>
        <v>0</v>
      </c>
      <c r="U69" s="91">
        <f>U36+'[1]UCEEP-09-01'!$C$28</f>
        <v>0</v>
      </c>
      <c r="V69" s="91">
        <f>V36+'[1]UCEEP-09-01'!$C$28</f>
        <v>0</v>
      </c>
      <c r="W69" s="91">
        <f>W36+'[1]UCEEP-09-01'!$C$28</f>
        <v>0</v>
      </c>
      <c r="X69" s="91">
        <f>X36+'[1]UCEEP-09-01'!$C$28</f>
        <v>660117.51</v>
      </c>
      <c r="Y69" s="91">
        <f>Y36+'[1]UCEEP-09-01'!$C$28</f>
        <v>0</v>
      </c>
      <c r="Z69" s="91">
        <f>Z36+'[1]UCEEP-09-01'!$C$28</f>
        <v>660117.51</v>
      </c>
      <c r="AA69" s="91">
        <f>AA36+'[1]UCEEP-09-01'!$C$28</f>
        <v>0</v>
      </c>
      <c r="AB69" s="91">
        <f>AB36+'[1]UCEEP-09-01'!$C$28</f>
        <v>180227.77</v>
      </c>
      <c r="AC69" s="91">
        <f>AC36+'[1]UCEEP-09-01'!$C$28</f>
        <v>0</v>
      </c>
      <c r="AD69" s="91">
        <f>AD36+'[1]UCEEP-09-01'!$C$28</f>
        <v>180227.77</v>
      </c>
      <c r="AE69" s="91">
        <f>AE36+'[1]UCEEP-09-01'!$C$28</f>
        <v>0</v>
      </c>
      <c r="AF69" s="91">
        <f>AF36+'[1]UCEEP-09-01'!$C$28</f>
        <v>180227.77</v>
      </c>
      <c r="AG69" s="91">
        <f>AG36+'[1]UCEEP-09-01'!$C$28</f>
        <v>0</v>
      </c>
      <c r="AH69" s="91">
        <f>AH36+'[1]UCEEP-09-01'!$C$28</f>
        <v>180227.77</v>
      </c>
      <c r="AI69" s="91">
        <f>AI36+'[1]UCEEP-09-01'!$C$28</f>
        <v>0</v>
      </c>
      <c r="AJ69" s="91">
        <f>AJ36+'[1]UCEEP-09-01'!$C$28</f>
        <v>180227.77</v>
      </c>
      <c r="AK69" s="91">
        <f>AK36+'[1]UCEEP-09-01'!$C$28</f>
        <v>0</v>
      </c>
      <c r="AL69" s="91">
        <f>AL36+'[1]UCEEP-09-01'!$C$28</f>
        <v>180227.77</v>
      </c>
      <c r="AM69" s="91">
        <f>AM36+'[1]UCEEP-09-01'!$C$28</f>
        <v>0</v>
      </c>
      <c r="AN69" s="91">
        <f>AN36+'[1]UCEEP-09-01'!$C$28</f>
        <v>180227.77</v>
      </c>
      <c r="AO69" s="91">
        <f>AO36+'[1]UCEEP-09-01'!$C$28</f>
        <v>0</v>
      </c>
      <c r="AP69" s="91">
        <f>AP36+'[1]UCEEP-09-01'!$C$28</f>
        <v>180227.77</v>
      </c>
      <c r="AQ69" s="91">
        <f>AQ36+'[1]UCEEP-09-01'!$C$28</f>
        <v>0</v>
      </c>
      <c r="AR69" s="91">
        <f>AR36+'[1]UCEEP-09-01'!$C$28</f>
        <v>479889.74</v>
      </c>
      <c r="AS69" s="91">
        <f>AS36+'[1]UCEEP-09-01'!$C$28</f>
        <v>0</v>
      </c>
      <c r="AT69" s="91">
        <f>AT36+'[1]UCEEP-09-01'!$C$28</f>
        <v>479889.74</v>
      </c>
    </row>
    <row r="70" spans="1:47" ht="6" customHeight="1" thickBot="1">
      <c r="A70" s="6"/>
      <c r="B70" s="4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41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</row>
    <row r="71" spans="1:47" ht="12" thickBot="1">
      <c r="A71" s="9"/>
      <c r="B71" s="7" t="s">
        <v>0</v>
      </c>
      <c r="C71" s="24">
        <f>SUM(C61:C69)</f>
        <v>0</v>
      </c>
      <c r="D71" s="24">
        <f t="shared" ref="D71:AT71" si="50">SUM(D61:D69)</f>
        <v>0</v>
      </c>
      <c r="E71" s="24">
        <f t="shared" si="50"/>
        <v>0</v>
      </c>
      <c r="F71" s="24">
        <f t="shared" si="50"/>
        <v>0</v>
      </c>
      <c r="G71" s="24">
        <f t="shared" si="50"/>
        <v>0</v>
      </c>
      <c r="H71" s="24">
        <f t="shared" si="50"/>
        <v>710891.51</v>
      </c>
      <c r="I71" s="24">
        <f t="shared" si="50"/>
        <v>1040082.52</v>
      </c>
      <c r="J71" s="24">
        <f t="shared" si="50"/>
        <v>1750974.03</v>
      </c>
      <c r="K71" s="24">
        <f t="shared" si="50"/>
        <v>0</v>
      </c>
      <c r="L71" s="24">
        <f t="shared" si="50"/>
        <v>0</v>
      </c>
      <c r="M71" s="24">
        <f t="shared" si="50"/>
        <v>0</v>
      </c>
      <c r="N71" s="24">
        <f t="shared" si="50"/>
        <v>0</v>
      </c>
      <c r="O71" s="24">
        <f t="shared" si="50"/>
        <v>0</v>
      </c>
      <c r="P71" s="24">
        <f t="shared" si="50"/>
        <v>0</v>
      </c>
      <c r="Q71" s="24">
        <f t="shared" si="50"/>
        <v>0</v>
      </c>
      <c r="R71" s="24">
        <f t="shared" si="50"/>
        <v>0</v>
      </c>
      <c r="S71" s="24">
        <f t="shared" si="50"/>
        <v>0</v>
      </c>
      <c r="T71" s="24">
        <f t="shared" si="50"/>
        <v>0</v>
      </c>
      <c r="U71" s="24">
        <f t="shared" si="50"/>
        <v>0</v>
      </c>
      <c r="V71" s="24">
        <f t="shared" si="50"/>
        <v>0</v>
      </c>
      <c r="W71" s="24">
        <f t="shared" si="50"/>
        <v>0</v>
      </c>
      <c r="X71" s="24">
        <f t="shared" si="50"/>
        <v>710891.51</v>
      </c>
      <c r="Y71" s="24">
        <f t="shared" si="50"/>
        <v>1040082.52</v>
      </c>
      <c r="Z71" s="24">
        <f t="shared" si="50"/>
        <v>1750974.03</v>
      </c>
      <c r="AA71" s="24">
        <f t="shared" si="50"/>
        <v>0</v>
      </c>
      <c r="AB71" s="24">
        <f t="shared" si="50"/>
        <v>231001.77</v>
      </c>
      <c r="AC71" s="24">
        <f t="shared" si="50"/>
        <v>785861.75</v>
      </c>
      <c r="AD71" s="24">
        <f t="shared" si="50"/>
        <v>1016863.52</v>
      </c>
      <c r="AE71" s="24">
        <f t="shared" si="50"/>
        <v>0</v>
      </c>
      <c r="AF71" s="24">
        <f t="shared" si="50"/>
        <v>231001.77</v>
      </c>
      <c r="AG71" s="24">
        <f t="shared" si="50"/>
        <v>785861.75</v>
      </c>
      <c r="AH71" s="24">
        <f t="shared" si="50"/>
        <v>1016863.52</v>
      </c>
      <c r="AI71" s="24">
        <f t="shared" si="50"/>
        <v>0</v>
      </c>
      <c r="AJ71" s="24">
        <f t="shared" si="50"/>
        <v>231001.77</v>
      </c>
      <c r="AK71" s="24">
        <f t="shared" si="50"/>
        <v>785861.75</v>
      </c>
      <c r="AL71" s="24">
        <f t="shared" si="50"/>
        <v>1016863.52</v>
      </c>
      <c r="AM71" s="24">
        <f t="shared" si="50"/>
        <v>0</v>
      </c>
      <c r="AN71" s="24">
        <f t="shared" si="50"/>
        <v>231001.77</v>
      </c>
      <c r="AO71" s="24">
        <f t="shared" si="50"/>
        <v>785861.75</v>
      </c>
      <c r="AP71" s="24">
        <f t="shared" si="50"/>
        <v>1016863.52</v>
      </c>
      <c r="AQ71" s="24">
        <f t="shared" si="50"/>
        <v>0</v>
      </c>
      <c r="AR71" s="24">
        <f t="shared" si="50"/>
        <v>479889.74</v>
      </c>
      <c r="AS71" s="24">
        <f t="shared" si="50"/>
        <v>254220.77000000008</v>
      </c>
      <c r="AT71" s="24">
        <f t="shared" si="50"/>
        <v>734110.51</v>
      </c>
    </row>
    <row r="72" spans="1:47" s="1" customForma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43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</row>
    <row r="73" spans="1:47" s="1" customForma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43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1:47" s="1" customForma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43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</row>
    <row r="75" spans="1:47" s="1" customForma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43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47" s="1" customForma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43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1:47" s="1" customForma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43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47" s="1" customForma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43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47" s="1" customForma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43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47" s="1" customForma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43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47" s="1" customForma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43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1:47" s="1" customForma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43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1:47" s="1" customForma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43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47" s="1" customFormat="1">
      <c r="A84" s="10"/>
      <c r="B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43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</row>
    <row r="85" spans="1:47" s="1" customFormat="1">
      <c r="A85" s="10"/>
      <c r="B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43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7" spans="1:47" s="40" customFormat="1" ht="24.75" customHeight="1">
      <c r="A87" s="72"/>
      <c r="C87" s="129" t="s">
        <v>43</v>
      </c>
      <c r="D87" s="129"/>
      <c r="E87" s="129"/>
      <c r="F87" s="129"/>
      <c r="G87" s="73"/>
      <c r="K87" s="73"/>
      <c r="L87" s="73"/>
      <c r="M87" s="73"/>
      <c r="N87" s="73"/>
      <c r="O87" s="73"/>
      <c r="P87" s="73"/>
      <c r="Q87" s="73"/>
      <c r="R87" s="73"/>
      <c r="S87" s="73"/>
      <c r="V87" s="129" t="s">
        <v>44</v>
      </c>
      <c r="W87" s="129"/>
      <c r="X87" s="129"/>
      <c r="Y87" s="129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M87" s="73"/>
      <c r="AO87" s="129" t="s">
        <v>45</v>
      </c>
      <c r="AP87" s="129"/>
      <c r="AQ87" s="129"/>
      <c r="AR87" s="129"/>
    </row>
    <row r="88" spans="1:47" s="40" customFormat="1" ht="24.75" customHeight="1">
      <c r="A88" s="72"/>
      <c r="C88" s="76"/>
      <c r="D88" s="76"/>
      <c r="E88" s="77"/>
      <c r="F88" s="73"/>
      <c r="G88" s="73"/>
      <c r="K88" s="73"/>
      <c r="L88" s="73"/>
      <c r="M88" s="73"/>
      <c r="N88" s="73"/>
      <c r="O88" s="73"/>
      <c r="P88" s="73"/>
      <c r="Q88" s="73"/>
      <c r="R88" s="73"/>
      <c r="S88" s="73"/>
      <c r="V88" s="77"/>
      <c r="W88" s="76"/>
      <c r="X88" s="76"/>
      <c r="Y88" s="77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M88" s="73"/>
      <c r="AO88" s="75"/>
      <c r="AP88" s="76"/>
      <c r="AQ88" s="77"/>
      <c r="AR88" s="75"/>
    </row>
    <row r="89" spans="1:47" s="40" customFormat="1" ht="24.75" customHeight="1">
      <c r="A89" s="72"/>
      <c r="C89" s="76"/>
      <c r="D89" s="76"/>
      <c r="E89" s="77"/>
      <c r="F89" s="73"/>
      <c r="G89" s="73"/>
      <c r="K89" s="73"/>
      <c r="L89" s="73"/>
      <c r="M89" s="73"/>
      <c r="N89" s="73"/>
      <c r="O89" s="73"/>
      <c r="P89" s="73"/>
      <c r="Q89" s="73"/>
      <c r="R89" s="73"/>
      <c r="S89" s="73"/>
      <c r="V89" s="77"/>
      <c r="W89" s="76"/>
      <c r="X89" s="76"/>
      <c r="Y89" s="77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M89" s="73"/>
      <c r="AO89" s="75"/>
      <c r="AP89" s="76"/>
      <c r="AQ89" s="77"/>
      <c r="AR89" s="75"/>
    </row>
    <row r="90" spans="1:47" s="40" customFormat="1" ht="24.75" customHeight="1">
      <c r="A90" s="72"/>
      <c r="C90" s="188" t="s">
        <v>46</v>
      </c>
      <c r="D90" s="188"/>
      <c r="E90" s="188"/>
      <c r="F90" s="188"/>
      <c r="G90" s="73"/>
      <c r="K90" s="73"/>
      <c r="L90" s="73"/>
      <c r="M90" s="73"/>
      <c r="N90" s="73"/>
      <c r="O90" s="73"/>
      <c r="P90" s="73"/>
      <c r="Q90" s="73"/>
      <c r="R90" s="73"/>
      <c r="S90" s="73"/>
      <c r="V90" s="129" t="s">
        <v>55</v>
      </c>
      <c r="W90" s="129"/>
      <c r="X90" s="129"/>
      <c r="Y90" s="129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M90" s="73"/>
      <c r="AO90" s="129" t="s">
        <v>57</v>
      </c>
      <c r="AP90" s="129"/>
      <c r="AQ90" s="129"/>
      <c r="AR90" s="129"/>
    </row>
    <row r="91" spans="1:47" s="40" customFormat="1" ht="24.75" customHeight="1">
      <c r="A91" s="72"/>
      <c r="C91" s="129" t="s">
        <v>47</v>
      </c>
      <c r="D91" s="129"/>
      <c r="E91" s="129"/>
      <c r="F91" s="129"/>
      <c r="G91" s="73"/>
      <c r="K91" s="73"/>
      <c r="L91" s="73"/>
      <c r="M91" s="73"/>
      <c r="N91" s="73"/>
      <c r="O91" s="73"/>
      <c r="P91" s="73"/>
      <c r="Q91" s="73"/>
      <c r="R91" s="73"/>
      <c r="S91" s="73"/>
      <c r="U91" s="129" t="s">
        <v>56</v>
      </c>
      <c r="V91" s="129"/>
      <c r="W91" s="129"/>
      <c r="X91" s="129"/>
      <c r="Y91" s="129"/>
      <c r="Z91" s="129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M91" s="73"/>
      <c r="AO91" s="129" t="s">
        <v>48</v>
      </c>
      <c r="AP91" s="129"/>
      <c r="AQ91" s="129"/>
      <c r="AR91" s="129"/>
    </row>
    <row r="92" spans="1:47" ht="18">
      <c r="C92" s="78"/>
      <c r="D92" s="78"/>
      <c r="E92" s="78"/>
    </row>
    <row r="95" spans="1:47" s="1" customForma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Z95" s="10"/>
      <c r="AA95" s="10"/>
      <c r="AB95" s="10"/>
      <c r="AC95" s="43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47" s="1" customFormat="1">
      <c r="A96" s="10"/>
      <c r="B96" s="10"/>
      <c r="C96" s="10"/>
      <c r="D96" s="10"/>
      <c r="E96" s="10"/>
      <c r="F96" s="65"/>
      <c r="G96" s="10"/>
      <c r="H96" s="10"/>
      <c r="I96" s="10"/>
      <c r="J96" s="65"/>
      <c r="K96" s="10"/>
      <c r="L96" s="10"/>
      <c r="M96" s="10"/>
      <c r="N96" s="65"/>
      <c r="O96" s="10"/>
      <c r="P96" s="10"/>
      <c r="Q96" s="10"/>
      <c r="R96" s="65"/>
      <c r="S96" s="10"/>
      <c r="T96" s="10"/>
      <c r="U96" s="10"/>
      <c r="V96" s="65"/>
      <c r="Z96" s="65"/>
      <c r="AA96" s="10"/>
      <c r="AB96" s="10"/>
      <c r="AC96" s="43"/>
      <c r="AD96" s="65"/>
      <c r="AE96" s="10"/>
      <c r="AF96" s="10"/>
      <c r="AG96" s="10"/>
      <c r="AH96" s="65"/>
      <c r="AI96" s="10"/>
      <c r="AJ96" s="10"/>
      <c r="AK96" s="10"/>
      <c r="AL96" s="65"/>
      <c r="AM96" s="10"/>
      <c r="AN96" s="10"/>
      <c r="AO96" s="10"/>
      <c r="AP96" s="65"/>
      <c r="AQ96" s="10"/>
      <c r="AR96" s="10"/>
      <c r="AS96" s="10"/>
      <c r="AT96" s="10"/>
      <c r="AU96" s="10"/>
    </row>
    <row r="97" spans="1:47" s="1" customForma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43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47" s="1" customFormat="1">
      <c r="A98" s="10"/>
      <c r="B98" s="10"/>
      <c r="C98" s="10"/>
      <c r="D98" s="10"/>
      <c r="E98" s="10"/>
      <c r="F98" s="33"/>
      <c r="G98" s="10"/>
      <c r="H98" s="10"/>
      <c r="I98" s="10"/>
      <c r="J98" s="33"/>
      <c r="K98" s="10"/>
      <c r="L98" s="10"/>
      <c r="M98" s="10"/>
      <c r="N98" s="33"/>
      <c r="O98" s="10"/>
      <c r="P98" s="10"/>
      <c r="Q98" s="10"/>
      <c r="R98" s="33"/>
      <c r="S98" s="10"/>
      <c r="T98" s="10"/>
      <c r="U98" s="10"/>
      <c r="V98" s="33"/>
      <c r="W98" s="10"/>
      <c r="X98" s="10"/>
      <c r="Y98" s="10"/>
      <c r="Z98" s="33"/>
      <c r="AA98" s="10"/>
      <c r="AB98" s="10"/>
      <c r="AC98" s="43"/>
      <c r="AD98" s="33"/>
      <c r="AE98" s="10"/>
      <c r="AF98" s="10"/>
      <c r="AG98" s="10"/>
      <c r="AH98" s="33"/>
      <c r="AI98" s="10"/>
      <c r="AJ98" s="10"/>
      <c r="AK98" s="10"/>
      <c r="AL98" s="33"/>
      <c r="AM98" s="10"/>
      <c r="AN98" s="10"/>
      <c r="AO98" s="10"/>
      <c r="AP98" s="33"/>
      <c r="AQ98" s="10"/>
      <c r="AR98" s="10"/>
      <c r="AS98" s="10"/>
      <c r="AT98" s="10"/>
      <c r="AU98" s="10"/>
    </row>
    <row r="99" spans="1:47" s="1" customFormat="1">
      <c r="A99" s="10"/>
      <c r="B99" s="10"/>
      <c r="C99" s="10"/>
      <c r="D99" s="10"/>
      <c r="E99" s="10"/>
      <c r="F99" s="33"/>
      <c r="G99" s="10"/>
      <c r="H99" s="10"/>
      <c r="I99" s="10"/>
      <c r="J99" s="33"/>
      <c r="K99" s="10"/>
      <c r="L99" s="10"/>
      <c r="M99" s="10"/>
      <c r="N99" s="33"/>
      <c r="O99" s="10"/>
      <c r="P99" s="10"/>
      <c r="Q99" s="10"/>
      <c r="R99" s="33"/>
      <c r="S99" s="10"/>
      <c r="T99" s="10"/>
      <c r="U99" s="10"/>
      <c r="V99" s="33"/>
      <c r="W99" s="10"/>
      <c r="X99" s="10"/>
      <c r="Y99" s="10"/>
      <c r="Z99" s="10"/>
      <c r="AA99" s="10"/>
      <c r="AB99" s="10"/>
      <c r="AC99" s="43"/>
      <c r="AD99" s="10"/>
      <c r="AE99" s="10"/>
      <c r="AF99" s="10"/>
      <c r="AG99" s="10"/>
      <c r="AH99" s="10"/>
      <c r="AI99" s="10"/>
      <c r="AJ99" s="10"/>
      <c r="AK99" s="10"/>
      <c r="AL99" s="33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47" s="1" customForma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43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</row>
    <row r="101" spans="1:47" s="1" customFormat="1">
      <c r="A101" s="10"/>
      <c r="B101" s="10"/>
      <c r="C101" s="10"/>
      <c r="D101" s="10"/>
      <c r="E101" s="10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43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47" s="1" customForma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43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47">
      <c r="F103" s="70"/>
      <c r="G103" s="70"/>
      <c r="H103" s="82"/>
      <c r="I103" s="70"/>
      <c r="J103" s="70"/>
    </row>
  </sheetData>
  <mergeCells count="79">
    <mergeCell ref="C90:F90"/>
    <mergeCell ref="C91:F91"/>
    <mergeCell ref="AA58:AD59"/>
    <mergeCell ref="V90:Y90"/>
    <mergeCell ref="AO87:AR87"/>
    <mergeCell ref="AO90:AR90"/>
    <mergeCell ref="AO91:AR91"/>
    <mergeCell ref="AE58:AH59"/>
    <mergeCell ref="AI58:AL59"/>
    <mergeCell ref="AM58:AP59"/>
    <mergeCell ref="AQ58:AT59"/>
    <mergeCell ref="O58:V58"/>
    <mergeCell ref="O59:R59"/>
    <mergeCell ref="S59:V59"/>
    <mergeCell ref="U91:Z91"/>
    <mergeCell ref="C87:F87"/>
    <mergeCell ref="V87:Y87"/>
    <mergeCell ref="W43:Z44"/>
    <mergeCell ref="AA43:AD44"/>
    <mergeCell ref="AM43:AP44"/>
    <mergeCell ref="AE43:AH44"/>
    <mergeCell ref="B57:B60"/>
    <mergeCell ref="C57:AT57"/>
    <mergeCell ref="C58:F59"/>
    <mergeCell ref="O43:V43"/>
    <mergeCell ref="G44:J44"/>
    <mergeCell ref="K44:N44"/>
    <mergeCell ref="O44:R44"/>
    <mergeCell ref="S44:V44"/>
    <mergeCell ref="G58:N58"/>
    <mergeCell ref="G59:J59"/>
    <mergeCell ref="K59:N59"/>
    <mergeCell ref="A56:B56"/>
    <mergeCell ref="A57:A60"/>
    <mergeCell ref="A42:A45"/>
    <mergeCell ref="B42:B45"/>
    <mergeCell ref="C42:AT42"/>
    <mergeCell ref="C43:F44"/>
    <mergeCell ref="AI43:AL44"/>
    <mergeCell ref="G43:N43"/>
    <mergeCell ref="W58:Z59"/>
    <mergeCell ref="AQ43:AT44"/>
    <mergeCell ref="O11:V11"/>
    <mergeCell ref="G12:J12"/>
    <mergeCell ref="K12:N12"/>
    <mergeCell ref="O12:R12"/>
    <mergeCell ref="S12:V12"/>
    <mergeCell ref="AR1:AT1"/>
    <mergeCell ref="A1:D1"/>
    <mergeCell ref="A4:AT4"/>
    <mergeCell ref="A5:AT5"/>
    <mergeCell ref="C10:AT10"/>
    <mergeCell ref="A6:AT6"/>
    <mergeCell ref="A7:AT7"/>
    <mergeCell ref="A10:A13"/>
    <mergeCell ref="B10:B13"/>
    <mergeCell ref="C11:F12"/>
    <mergeCell ref="W11:Z12"/>
    <mergeCell ref="AA11:AD12"/>
    <mergeCell ref="AE11:AH12"/>
    <mergeCell ref="AI11:AL12"/>
    <mergeCell ref="AM11:AP12"/>
    <mergeCell ref="AQ11:AT12"/>
    <mergeCell ref="AS8:AT8"/>
    <mergeCell ref="A24:A27"/>
    <mergeCell ref="B24:B27"/>
    <mergeCell ref="C24:AT24"/>
    <mergeCell ref="C25:F26"/>
    <mergeCell ref="G25:J26"/>
    <mergeCell ref="K25:N26"/>
    <mergeCell ref="O25:R26"/>
    <mergeCell ref="S25:V26"/>
    <mergeCell ref="W25:Z26"/>
    <mergeCell ref="AA25:AD26"/>
    <mergeCell ref="AE25:AH26"/>
    <mergeCell ref="AI25:AL26"/>
    <mergeCell ref="AM25:AP26"/>
    <mergeCell ref="AQ25:AT26"/>
    <mergeCell ref="G11:N11"/>
  </mergeCells>
  <printOptions horizontalCentered="1"/>
  <pageMargins left="0.19685039370078741" right="0.19685039370078741" top="0.59055118110236227" bottom="0.19685039370078741" header="0" footer="0.19685039370078741"/>
  <pageSetup paperSize="17" scale="26" fitToHeight="0" orientation="landscape" r:id="rId1"/>
  <rowBreaks count="4" manualBreakCount="4">
    <brk id="94" max="56" man="1"/>
    <brk id="96" max="46" man="1"/>
    <brk id="97" max="46" man="1"/>
    <brk id="112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UCEEP-09</vt:lpstr>
      <vt:lpstr>UCEEP-09-01</vt:lpstr>
      <vt:lpstr>'UCEEP-09'!Área_de_impresión</vt:lpstr>
      <vt:lpstr>'UCEEP-09-01'!Área_de_impresión</vt:lpstr>
      <vt:lpstr>'UCEEP-09-01'!Títulos_a_imprimir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lap_par19</dc:creator>
  <cp:lastModifiedBy>PC-Utec</cp:lastModifiedBy>
  <cp:lastPrinted>2019-07-25T16:11:41Z</cp:lastPrinted>
  <dcterms:created xsi:type="dcterms:W3CDTF">2011-03-22T16:13:17Z</dcterms:created>
  <dcterms:modified xsi:type="dcterms:W3CDTF">2022-02-18T19:22:53Z</dcterms:modified>
</cp:coreProperties>
</file>